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4036" windowHeight="12816" tabRatio="599" activeTab="0"/>
  </bookViews>
  <sheets>
    <sheet name="Ceník DPS" sheetId="1" r:id="rId1"/>
  </sheets>
  <definedNames>
    <definedName name="_xlnm.Print_Area" localSheetId="0">'Ceník DPS'!$A$1:$E$53</definedName>
    <definedName name="Z_52C674C1_0A8A_11D5_8CA3_004F490C1DAE_.wvu.PrintArea" localSheetId="0" hidden="1">'Ceník DPS'!$A$1:$E$52</definedName>
  </definedNames>
  <calcPr fullCalcOnLoad="1"/>
</workbook>
</file>

<file path=xl/sharedStrings.xml><?xml version="1.0" encoding="utf-8"?>
<sst xmlns="http://schemas.openxmlformats.org/spreadsheetml/2006/main" count="234" uniqueCount="229">
  <si>
    <t>jednostranný (1v)</t>
  </si>
  <si>
    <t>oboustranný (2v)</t>
  </si>
  <si>
    <t>prokovený (2vp)</t>
  </si>
  <si>
    <t>0,40 mm</t>
  </si>
  <si>
    <t>0,60 mm</t>
  </si>
  <si>
    <t>0,80 mm</t>
  </si>
  <si>
    <t>Povrchové úpravy :</t>
  </si>
  <si>
    <t>Počet přířezů :</t>
  </si>
  <si>
    <t>1,00 mm</t>
  </si>
  <si>
    <t>1,20 mm</t>
  </si>
  <si>
    <t>FR4</t>
  </si>
  <si>
    <t>1,50 mm</t>
  </si>
  <si>
    <t>CEM1</t>
  </si>
  <si>
    <t>2,00 mm</t>
  </si>
  <si>
    <t>Vrtání :</t>
  </si>
  <si>
    <t>nerozhoduje</t>
  </si>
  <si>
    <t>18 um</t>
  </si>
  <si>
    <t>frézování</t>
  </si>
  <si>
    <t>drážkování</t>
  </si>
  <si>
    <t>35 um</t>
  </si>
  <si>
    <t>cena za expres :</t>
  </si>
  <si>
    <t>automatem CNC</t>
  </si>
  <si>
    <t>bez nepájivé masky</t>
  </si>
  <si>
    <t>bez servisního potisku</t>
  </si>
  <si>
    <t>Plocha zakázky :</t>
  </si>
  <si>
    <t>Plocha 1 ks dps :</t>
  </si>
  <si>
    <t>Datum objednání :</t>
  </si>
  <si>
    <t>Datum dodání :</t>
  </si>
  <si>
    <t>Kontrola vyplnění všech údajů :</t>
  </si>
  <si>
    <t>Osvit spojů :</t>
  </si>
  <si>
    <t xml:space="preserve">počet dodaných kusů :  </t>
  </si>
  <si>
    <t xml:space="preserve">cena celkem za přípravu :  </t>
  </si>
  <si>
    <t xml:space="preserve">cena celkem za kus :  </t>
  </si>
  <si>
    <t>milimetry :</t>
  </si>
  <si>
    <t>mils :</t>
  </si>
  <si>
    <t>cena bez DPH :</t>
  </si>
  <si>
    <t>částka DPH :</t>
  </si>
  <si>
    <t>celkem :</t>
  </si>
  <si>
    <t>Počet filmů :</t>
  </si>
  <si>
    <t>Název plošného spoje :</t>
  </si>
  <si>
    <t>Dodací lhůta :</t>
  </si>
  <si>
    <t>Forma dodání :</t>
  </si>
  <si>
    <t>Výstupní kontrola :</t>
  </si>
  <si>
    <t>stříhat a frézovat výřezy</t>
  </si>
  <si>
    <t>drážkovat a frézovat výřezy</t>
  </si>
  <si>
    <t>nedělit, dodat celý přířez</t>
  </si>
  <si>
    <t>frézovat obrys nebo výřezy</t>
  </si>
  <si>
    <t>zlacení přímých konektorů</t>
  </si>
  <si>
    <t>testovat elektricky ATG</t>
  </si>
  <si>
    <t>Příprava testeru :</t>
  </si>
  <si>
    <t>Testování :</t>
  </si>
  <si>
    <t>Příprava povrchů :</t>
  </si>
  <si>
    <t>Povrch :</t>
  </si>
  <si>
    <t>přímá klávesnice stříbrem</t>
  </si>
  <si>
    <t>název dps :</t>
  </si>
  <si>
    <t>snímatelná maska</t>
  </si>
  <si>
    <t>položka a sazba DPH :</t>
  </si>
  <si>
    <t>drážkovat přířez</t>
  </si>
  <si>
    <t>stínící vrstva EMS</t>
  </si>
  <si>
    <t>G10 1V</t>
  </si>
  <si>
    <t>G10 2V</t>
  </si>
  <si>
    <t>Cena za přípravu dat :</t>
  </si>
  <si>
    <t>Výsledná cena za dm2 :</t>
  </si>
  <si>
    <t>vizuální kontrola - v ceně zakázky</t>
  </si>
  <si>
    <t>Cena za servisní potisk :</t>
  </si>
  <si>
    <t>Cena za nep. masku :</t>
  </si>
  <si>
    <t>Cena za filmy :</t>
  </si>
  <si>
    <t>Cena za přípravu dps :</t>
  </si>
  <si>
    <t>Cena za povrch :</t>
  </si>
  <si>
    <t>Cena za samotné dps .</t>
  </si>
  <si>
    <t>Cena za dělení :</t>
  </si>
  <si>
    <t>Cena za vrtání :</t>
  </si>
  <si>
    <t>Zde odešlete : Vyplňujte POUZE ! žlutá pole a rozbalovací nabídky nadepsané modře. Pokud nevyplníte vše, dostanete chybné výsledky !!</t>
  </si>
  <si>
    <t>http://www.semach.cz</t>
  </si>
  <si>
    <t>Sleva množstevní :</t>
  </si>
  <si>
    <t xml:space="preserve">      Síla laminátu :</t>
  </si>
  <si>
    <t xml:space="preserve">       Typ materiálu :</t>
  </si>
  <si>
    <t>Změna mimořádná :</t>
  </si>
  <si>
    <t>Změna nep. masky :</t>
  </si>
  <si>
    <t>Změna serv. potisku :</t>
  </si>
  <si>
    <t>I - IV. tř. přesnosti + 0 %</t>
  </si>
  <si>
    <t>bez speciálních požadavků</t>
  </si>
  <si>
    <t>Výrobní podklady :</t>
  </si>
  <si>
    <t>Počet kusů :</t>
  </si>
  <si>
    <t>Typ plošných spojů :</t>
  </si>
  <si>
    <t>Síla plátované mědi :</t>
  </si>
  <si>
    <t>Speciální požadavky :</t>
  </si>
  <si>
    <t>Testování a kontrola :</t>
  </si>
  <si>
    <t>speciální</t>
  </si>
  <si>
    <t>105 um+30%</t>
  </si>
  <si>
    <t>Počet motivů :</t>
  </si>
  <si>
    <t>Plocha přířezu :</t>
  </si>
  <si>
    <t>Plocha filmů :</t>
  </si>
  <si>
    <t>Dodací list číslo :</t>
  </si>
  <si>
    <t>Číslo objednávky :</t>
  </si>
  <si>
    <t>Jméno zadavatele:</t>
  </si>
  <si>
    <t>Vyúčtování zakázky a dodací list :</t>
  </si>
  <si>
    <t>firmě :</t>
  </si>
  <si>
    <t>platnost ceníku od :</t>
  </si>
  <si>
    <t>cena  za přípravu dat :</t>
  </si>
  <si>
    <t>Celkem v zakázce :</t>
  </si>
  <si>
    <t>Stav doručení :</t>
  </si>
  <si>
    <t>Klikněte na odkaz zásilky, pokud je podporováno :</t>
  </si>
  <si>
    <t>Kontrola vyplnění jednotlivých buněk :</t>
  </si>
  <si>
    <t>vrátit s vyúčtováním zakázky</t>
  </si>
  <si>
    <t>Expedice zakázky :</t>
  </si>
  <si>
    <t>flexibilní (1vf)</t>
  </si>
  <si>
    <t>nevrtat</t>
  </si>
  <si>
    <t>opticky ručně</t>
  </si>
  <si>
    <t>archivovat pro další výrobu</t>
  </si>
  <si>
    <t>k osobnímu odběru - 0 Kč</t>
  </si>
  <si>
    <t>70 um+15%</t>
  </si>
  <si>
    <t>Opakovaná výroba : 0 Kč</t>
  </si>
  <si>
    <t>hotové filmy</t>
  </si>
  <si>
    <t>Počet otvorů :</t>
  </si>
  <si>
    <t>Eagle Windows : 200 Kč</t>
  </si>
  <si>
    <t>Datum expedice :</t>
  </si>
  <si>
    <t>Předpoklad expedice :</t>
  </si>
  <si>
    <t>CAM 350 : 200 Kč</t>
  </si>
  <si>
    <t>Gerber 274 X : 200 Kč</t>
  </si>
  <si>
    <t>Corel Draw : 300 Kč</t>
  </si>
  <si>
    <t>Encapsulated Postscript : 300 Kč</t>
  </si>
  <si>
    <t>Celkem otvorů :</t>
  </si>
  <si>
    <t>pájitelný lak Peters : 0 Kč</t>
  </si>
  <si>
    <t>bez ochrany povrchu : 0 Kč</t>
  </si>
  <si>
    <t>Formica 4.1 a 4.2, Windows 4.3 : 300 Kč</t>
  </si>
  <si>
    <t>DWG : 200 Kč</t>
  </si>
  <si>
    <t>mail - doruč., exp.</t>
  </si>
  <si>
    <t>mail o zpoždění</t>
  </si>
  <si>
    <t>dodání</t>
  </si>
  <si>
    <t>cena</t>
  </si>
  <si>
    <t>společná zakázka - 0 Kč</t>
  </si>
  <si>
    <t>Předloha navržená firmou Semach : ? Kč</t>
  </si>
  <si>
    <t>data</t>
  </si>
  <si>
    <t>Protel : 300 Kč</t>
  </si>
  <si>
    <t>HPGL : 400 Kč</t>
  </si>
  <si>
    <t>Speciální formáty : 400 Kč</t>
  </si>
  <si>
    <t>lisovat obrys/výřezy, dohoda</t>
  </si>
  <si>
    <t>stříhat na optických nůžkách</t>
  </si>
  <si>
    <t>1,0</t>
  </si>
  <si>
    <t>2,0</t>
  </si>
  <si>
    <t>expres 8 hod.: 1v/2v +300%, 2vp-dohoda</t>
  </si>
  <si>
    <t>expres 24 hod.: 1v/2v +200%, 2vp +300%</t>
  </si>
  <si>
    <t>expres do 2 dní: 1v/2v +100%,2vp +200%</t>
  </si>
  <si>
    <t>expres do 3 dní:1v/2v+75%,2vp +150%</t>
  </si>
  <si>
    <t>expres do 4 dní:1v/2v+50%,2vp +100%</t>
  </si>
  <si>
    <t>expres do 5 dní: 1v/2v +25%, 2vp +75%</t>
  </si>
  <si>
    <t>expres do 6 dní: 1v/2v +15%, 2vp +50%</t>
  </si>
  <si>
    <t>expres do 7 dní: 1v/2v +8%, 2vp +25%</t>
  </si>
  <si>
    <t>expres do 8 dní: nelze, 2vp +15%</t>
  </si>
  <si>
    <t>hliníkový (1Al)</t>
  </si>
  <si>
    <t>Al</t>
  </si>
  <si>
    <t>běžná cca 10 dní</t>
  </si>
  <si>
    <t>Náklady materiál :</t>
  </si>
  <si>
    <t>laminát</t>
  </si>
  <si>
    <t>fotorezist</t>
  </si>
  <si>
    <t>maska potisk</t>
  </si>
  <si>
    <t>povrch</t>
  </si>
  <si>
    <t>leptadlo</t>
  </si>
  <si>
    <t>vrtání</t>
  </si>
  <si>
    <t>filmy</t>
  </si>
  <si>
    <t>doprava</t>
  </si>
  <si>
    <t>prokovení</t>
  </si>
  <si>
    <t xml:space="preserve"> Fréza:    Mechanické opracování :</t>
  </si>
  <si>
    <t>Chyba</t>
  </si>
  <si>
    <t>18 um + 25 um pokovení = 43 um</t>
  </si>
  <si>
    <t>35 um + 25 um pokovení = 60 um</t>
  </si>
  <si>
    <t>70 um + 25 um pokovení  = 95 um</t>
  </si>
  <si>
    <t>105 um + 25 um pokovení = 130 um</t>
  </si>
  <si>
    <t>zelená</t>
  </si>
  <si>
    <t>bílá</t>
  </si>
  <si>
    <t>černá</t>
  </si>
  <si>
    <t>maska</t>
  </si>
  <si>
    <t>potisk</t>
  </si>
  <si>
    <t xml:space="preserve">minimální cena    </t>
  </si>
  <si>
    <t>maska - jednostranná</t>
  </si>
  <si>
    <t>maska - oboustranná</t>
  </si>
  <si>
    <t>potisk - jednostranný</t>
  </si>
  <si>
    <t>potisk - oboustranný</t>
  </si>
  <si>
    <t>Va VI  tř.přesnosti + 20 %</t>
  </si>
  <si>
    <t>testovat opticky AOI</t>
  </si>
  <si>
    <t xml:space="preserve">žlutá </t>
  </si>
  <si>
    <t>(červená)</t>
  </si>
  <si>
    <t>(modrá)</t>
  </si>
  <si>
    <t>Pořadové číslo :</t>
  </si>
  <si>
    <t>Počet motivů na přířezu :</t>
  </si>
  <si>
    <t>Panelizace dps v obou osách :</t>
  </si>
  <si>
    <t>Velikost výrobního přířezu :</t>
  </si>
  <si>
    <t>Semach předal :</t>
  </si>
  <si>
    <t>Zákazník převzal:</t>
  </si>
  <si>
    <t>celkem k platbě EUR :</t>
  </si>
  <si>
    <t xml:space="preserve">celkem k platbě CZK : </t>
  </si>
  <si>
    <t>Kurz EUR :</t>
  </si>
  <si>
    <t>Převzato dne :</t>
  </si>
  <si>
    <t>2,40 mm</t>
  </si>
  <si>
    <t>3,20 mm</t>
  </si>
  <si>
    <t>Dodané klišé : 100 Kč</t>
  </si>
  <si>
    <t>Gerber 274 D + D-kódová tabulka : 400 Kč</t>
  </si>
  <si>
    <t>E - maily zadavatele :</t>
  </si>
  <si>
    <t>DR5206208574M</t>
  </si>
  <si>
    <t>Doručení PPL/pošta:</t>
  </si>
  <si>
    <t xml:space="preserve">plošné spoje 21 % : </t>
  </si>
  <si>
    <t xml:space="preserve">data, filmy, dopravné a expres 21 % : </t>
  </si>
  <si>
    <t xml:space="preserve">poštovné 21 % : </t>
  </si>
  <si>
    <t xml:space="preserve">mimořádné položky v dps 21 % : </t>
  </si>
  <si>
    <t xml:space="preserve">mimořádné položky v přípravě 21 % : </t>
  </si>
  <si>
    <t>Rogers</t>
  </si>
  <si>
    <t>svátky ve všední den</t>
  </si>
  <si>
    <t>ochranný spray Peters : 0 Kč/dm2</t>
  </si>
  <si>
    <t>poštou : balík do ruky dobírka - 150 Kč</t>
  </si>
  <si>
    <t>poštou : balík do ruky 24 hodin - 150 Kč</t>
  </si>
  <si>
    <t>poštou : Slovensko - 250 Kč</t>
  </si>
  <si>
    <t>cen materiálu</t>
  </si>
  <si>
    <t>Materiálová přirážka:dočasné zvýšení</t>
  </si>
  <si>
    <t>PPL : balík 24 hodin - 140 Kč</t>
  </si>
  <si>
    <t>poštou : doporučený dopis - 100 Kč</t>
  </si>
  <si>
    <t>poštou : EMS expres - 250 Kč</t>
  </si>
  <si>
    <t>PPL : dobírka do 24 hodin - 140 Kč</t>
  </si>
  <si>
    <t>Toptrans : 350 Kč</t>
  </si>
  <si>
    <t>film - 30 Kč / dm 2</t>
  </si>
  <si>
    <t>plošné imerzní zlacení ENIG : 24 Kč/dm2</t>
  </si>
  <si>
    <t>HAL bezolovnatý : 12 Kč/dm2</t>
  </si>
  <si>
    <t>chemický cín bezolovnatý : 12 Kč/dm2</t>
  </si>
  <si>
    <t>brodicím válcem bezolovem : 12 Kč/dm2</t>
  </si>
  <si>
    <t>Huazeng</t>
  </si>
  <si>
    <t>Isola</t>
  </si>
  <si>
    <t>bez mědi</t>
  </si>
  <si>
    <t>0 um</t>
  </si>
  <si>
    <t>Internet verze :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</si>
</sst>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#,##0\ &quot;Kč&quot;"/>
    <numFmt numFmtId="168" formatCode="0;[Red]0"/>
    <numFmt numFmtId="169" formatCode="#,##0.00\ &quot;Kč&quot;"/>
    <numFmt numFmtId="170" formatCode="#,##0.0"/>
    <numFmt numFmtId="171" formatCode="0.0000"/>
    <numFmt numFmtId="172" formatCode="d/m/yy\ h:mm"/>
    <numFmt numFmtId="173" formatCode="#,##0.0000\ _K_č"/>
    <numFmt numFmtId="174" formatCode="#,##0.0000\ &quot;Kč&quot;"/>
    <numFmt numFmtId="175" formatCode="#,##0.00\ [$€-1]"/>
    <numFmt numFmtId="176" formatCode="#,##0.00\ _K_č"/>
    <numFmt numFmtId="177" formatCode="[$€-2]\ #,##0.00"/>
    <numFmt numFmtId="178" formatCode="mmm/yyyy"/>
  </numFmts>
  <fonts count="81">
    <font>
      <sz val="10"/>
      <name val="Arial CE"/>
      <family val="0"/>
    </font>
    <font>
      <sz val="8"/>
      <name val="Tahoma"/>
      <family val="2"/>
    </font>
    <font>
      <sz val="11"/>
      <name val="Arial CE"/>
      <family val="2"/>
    </font>
    <font>
      <i/>
      <sz val="8"/>
      <name val="Arial CE"/>
      <family val="2"/>
    </font>
    <font>
      <sz val="10"/>
      <color indexed="16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color indexed="57"/>
      <name val="Arial CE"/>
      <family val="2"/>
    </font>
    <font>
      <b/>
      <sz val="12"/>
      <color indexed="8"/>
      <name val="Arial CE"/>
      <family val="2"/>
    </font>
    <font>
      <i/>
      <sz val="8"/>
      <color indexed="23"/>
      <name val="Arial CE"/>
      <family val="2"/>
    </font>
    <font>
      <b/>
      <sz val="14"/>
      <color indexed="16"/>
      <name val="Arial CE"/>
      <family val="2"/>
    </font>
    <font>
      <b/>
      <i/>
      <sz val="9"/>
      <name val="Arial CE"/>
      <family val="2"/>
    </font>
    <font>
      <b/>
      <sz val="8"/>
      <color indexed="9"/>
      <name val="Arial CE"/>
      <family val="2"/>
    </font>
    <font>
      <b/>
      <sz val="10"/>
      <color indexed="60"/>
      <name val="Arial CE"/>
      <family val="2"/>
    </font>
    <font>
      <i/>
      <sz val="9"/>
      <color indexed="16"/>
      <name val="Arial CE"/>
      <family val="2"/>
    </font>
    <font>
      <i/>
      <sz val="8"/>
      <color indexed="8"/>
      <name val="Arial CE"/>
      <family val="2"/>
    </font>
    <font>
      <b/>
      <i/>
      <sz val="10"/>
      <name val="Arial CE"/>
      <family val="2"/>
    </font>
    <font>
      <b/>
      <sz val="10"/>
      <color indexed="16"/>
      <name val="Arial CE"/>
      <family val="2"/>
    </font>
    <font>
      <i/>
      <sz val="8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9"/>
      <name val="Arial CE"/>
      <family val="2"/>
    </font>
    <font>
      <sz val="14"/>
      <color indexed="10"/>
      <name val="Arial CE"/>
      <family val="2"/>
    </font>
    <font>
      <b/>
      <sz val="9"/>
      <color indexed="57"/>
      <name val="Arial CE"/>
      <family val="2"/>
    </font>
    <font>
      <sz val="14"/>
      <color indexed="9"/>
      <name val="Arial CE"/>
      <family val="2"/>
    </font>
    <font>
      <i/>
      <sz val="10"/>
      <color indexed="16"/>
      <name val="Arial CE"/>
      <family val="2"/>
    </font>
    <font>
      <b/>
      <sz val="10"/>
      <color indexed="4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  <font>
      <sz val="10"/>
      <color theme="0"/>
      <name val="Arial CE"/>
      <family val="0"/>
    </font>
    <font>
      <sz val="8"/>
      <color theme="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dashDot"/>
    </border>
    <border>
      <left style="dashDotDot"/>
      <right style="dashDotDot"/>
      <top style="dashDotDot"/>
      <bottom>
        <color indexed="63"/>
      </bottom>
    </border>
    <border>
      <left style="dashDotDot"/>
      <right style="dashDotDot"/>
      <top>
        <color indexed="63"/>
      </top>
      <bottom style="dashDotDot"/>
    </border>
    <border>
      <left style="dashDotDot"/>
      <right style="dashDotDot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 style="dashDot"/>
      <top style="dashDot"/>
      <bottom style="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mediumDashDot"/>
      <bottom>
        <color indexed="63"/>
      </bottom>
    </border>
    <border>
      <left style="thin"/>
      <right style="mediumDashDot"/>
      <top style="mediumDashDot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>
        <color indexed="63"/>
      </bottom>
    </border>
    <border>
      <left style="thin"/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dashDotDot"/>
      <right style="mediumDashDot"/>
      <top style="dashDotDot"/>
      <bottom>
        <color indexed="63"/>
      </bottom>
    </border>
    <border>
      <left style="dashDotDot"/>
      <right style="mediumDashDot"/>
      <top>
        <color indexed="63"/>
      </top>
      <bottom style="dashDotDot"/>
    </border>
    <border>
      <left style="mediumDashDot"/>
      <right>
        <color indexed="63"/>
      </right>
      <top style="dashDotDot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thin"/>
      <right style="mediumDashDot"/>
      <top style="thin"/>
      <bottom>
        <color indexed="63"/>
      </bottom>
    </border>
    <border>
      <left style="mediumDashDot"/>
      <right style="dashDot"/>
      <top style="dashDot"/>
      <bottom style="dashDot"/>
    </border>
    <border>
      <left style="dashDot"/>
      <right style="mediumDashDot"/>
      <top style="dashDot"/>
      <bottom style="dashDot"/>
    </border>
    <border>
      <left>
        <color indexed="63"/>
      </left>
      <right style="mediumDashDot"/>
      <top>
        <color indexed="63"/>
      </top>
      <bottom style="dashDot"/>
    </border>
    <border>
      <left>
        <color indexed="63"/>
      </left>
      <right style="dashDotDot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mediumDashDot"/>
      <right style="dashDotDot"/>
      <top style="hair"/>
      <bottom style="thin"/>
    </border>
    <border>
      <left style="thin"/>
      <right style="mediumDashDotDot"/>
      <top style="hair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DashDot"/>
    </border>
    <border>
      <left>
        <color indexed="63"/>
      </left>
      <right style="thin"/>
      <top>
        <color indexed="63"/>
      </top>
      <bottom style="mediumDash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Dot"/>
      <top style="thin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mediumDashDot"/>
      <bottom style="thin"/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DashDot"/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Dot"/>
      <top style="thin"/>
      <bottom style="thin"/>
    </border>
    <border>
      <left style="thin"/>
      <right style="mediumDashDot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3" fontId="7" fillId="33" borderId="10" xfId="0" applyNumberFormat="1" applyFont="1" applyFill="1" applyBorder="1" applyAlignment="1" applyProtection="1">
      <alignment horizontal="center"/>
      <protection locked="0"/>
    </xf>
    <xf numFmtId="0" fontId="0" fillId="34" borderId="11" xfId="36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9" fillId="35" borderId="12" xfId="0" applyFont="1" applyFill="1" applyBorder="1" applyAlignment="1" applyProtection="1">
      <alignment horizontal="center"/>
      <protection hidden="1"/>
    </xf>
    <xf numFmtId="169" fontId="0" fillId="33" borderId="12" xfId="0" applyNumberFormat="1" applyFont="1" applyFill="1" applyBorder="1" applyAlignment="1" applyProtection="1">
      <alignment horizontal="center"/>
      <protection locked="0"/>
    </xf>
    <xf numFmtId="4" fontId="4" fillId="35" borderId="0" xfId="0" applyNumberFormat="1" applyFont="1" applyFill="1" applyBorder="1" applyAlignment="1" applyProtection="1">
      <alignment horizontal="center"/>
      <protection hidden="1"/>
    </xf>
    <xf numFmtId="2" fontId="4" fillId="35" borderId="0" xfId="0" applyNumberFormat="1" applyFont="1" applyFill="1" applyBorder="1" applyAlignment="1" applyProtection="1">
      <alignment horizontal="center"/>
      <protection hidden="1"/>
    </xf>
    <xf numFmtId="0" fontId="0" fillId="36" borderId="11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8" fontId="6" fillId="35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 vertical="top"/>
    </xf>
    <xf numFmtId="0" fontId="18" fillId="35" borderId="13" xfId="36" applyFont="1" applyFill="1" applyBorder="1" applyAlignment="1" applyProtection="1">
      <alignment horizontal="right"/>
      <protection hidden="1"/>
    </xf>
    <xf numFmtId="167" fontId="18" fillId="35" borderId="10" xfId="0" applyNumberFormat="1" applyFont="1" applyFill="1" applyBorder="1" applyAlignment="1" applyProtection="1">
      <alignment horizontal="right"/>
      <protection locked="0"/>
    </xf>
    <xf numFmtId="0" fontId="18" fillId="35" borderId="14" xfId="0" applyFont="1" applyFill="1" applyBorder="1" applyAlignment="1">
      <alignment horizontal="right"/>
    </xf>
    <xf numFmtId="2" fontId="0" fillId="0" borderId="10" xfId="0" applyNumberFormat="1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37" borderId="15" xfId="0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 horizontal="right"/>
      <protection locked="0"/>
    </xf>
    <xf numFmtId="0" fontId="0" fillId="37" borderId="15" xfId="0" applyFont="1" applyFill="1" applyBorder="1" applyAlignment="1" applyProtection="1">
      <alignment horizontal="center"/>
      <protection hidden="1"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35" borderId="17" xfId="0" applyNumberFormat="1" applyFont="1" applyFill="1" applyBorder="1" applyAlignment="1" applyProtection="1">
      <alignment horizontal="center"/>
      <protection hidden="1"/>
    </xf>
    <xf numFmtId="1" fontId="8" fillId="35" borderId="18" xfId="0" applyNumberFormat="1" applyFont="1" applyFill="1" applyBorder="1" applyAlignment="1" applyProtection="1">
      <alignment horizontal="center"/>
      <protection hidden="1"/>
    </xf>
    <xf numFmtId="1" fontId="0" fillId="0" borderId="17" xfId="0" applyNumberFormat="1" applyFont="1" applyFill="1" applyBorder="1" applyAlignment="1" applyProtection="1">
      <alignment horizontal="center"/>
      <protection hidden="1"/>
    </xf>
    <xf numFmtId="1" fontId="0" fillId="0" borderId="19" xfId="0" applyNumberFormat="1" applyFont="1" applyFill="1" applyBorder="1" applyAlignment="1" applyProtection="1">
      <alignment horizontal="center"/>
      <protection hidden="1"/>
    </xf>
    <xf numFmtId="0" fontId="0" fillId="37" borderId="20" xfId="0" applyFont="1" applyFill="1" applyBorder="1" applyAlignment="1">
      <alignment horizontal="center"/>
    </xf>
    <xf numFmtId="0" fontId="0" fillId="37" borderId="21" xfId="0" applyFont="1" applyFill="1" applyBorder="1" applyAlignment="1" applyProtection="1">
      <alignment horizontal="center"/>
      <protection hidden="1"/>
    </xf>
    <xf numFmtId="0" fontId="25" fillId="35" borderId="0" xfId="0" applyFont="1" applyFill="1" applyBorder="1" applyAlignment="1" applyProtection="1">
      <alignment horizontal="center"/>
      <protection hidden="1"/>
    </xf>
    <xf numFmtId="0" fontId="30" fillId="0" borderId="22" xfId="0" applyFont="1" applyBorder="1" applyAlignment="1">
      <alignment horizontal="center" vertical="center"/>
    </xf>
    <xf numFmtId="49" fontId="2" fillId="33" borderId="23" xfId="0" applyNumberFormat="1" applyFont="1" applyFill="1" applyBorder="1" applyAlignment="1" applyProtection="1">
      <alignment horizontal="center"/>
      <protection locked="0"/>
    </xf>
    <xf numFmtId="169" fontId="34" fillId="35" borderId="0" xfId="0" applyNumberFormat="1" applyFont="1" applyFill="1" applyBorder="1" applyAlignment="1" applyProtection="1">
      <alignment horizontal="left" vertical="center"/>
      <protection hidden="1"/>
    </xf>
    <xf numFmtId="49" fontId="16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2" fontId="32" fillId="0" borderId="0" xfId="0" applyNumberFormat="1" applyFont="1" applyBorder="1" applyAlignment="1">
      <alignment horizontal="center"/>
    </xf>
    <xf numFmtId="166" fontId="19" fillId="38" borderId="24" xfId="0" applyNumberFormat="1" applyFont="1" applyFill="1" applyBorder="1" applyAlignment="1" applyProtection="1">
      <alignment horizontal="center" vertical="center"/>
      <protection/>
    </xf>
    <xf numFmtId="166" fontId="19" fillId="38" borderId="25" xfId="0" applyNumberFormat="1" applyFont="1" applyFill="1" applyBorder="1" applyAlignment="1" applyProtection="1">
      <alignment horizontal="center" vertical="center"/>
      <protection/>
    </xf>
    <xf numFmtId="166" fontId="19" fillId="38" borderId="26" xfId="0" applyNumberFormat="1" applyFont="1" applyFill="1" applyBorder="1" applyAlignment="1" applyProtection="1">
      <alignment horizontal="center" vertical="center"/>
      <protection/>
    </xf>
    <xf numFmtId="0" fontId="8" fillId="38" borderId="26" xfId="0" applyFont="1" applyFill="1" applyBorder="1" applyAlignment="1" applyProtection="1">
      <alignment horizontal="center" vertical="center"/>
      <protection/>
    </xf>
    <xf numFmtId="49" fontId="20" fillId="38" borderId="26" xfId="36" applyNumberFormat="1" applyFont="1" applyFill="1" applyBorder="1" applyAlignment="1" applyProtection="1">
      <alignment horizontal="center" vertical="center"/>
      <protection/>
    </xf>
    <xf numFmtId="4" fontId="4" fillId="35" borderId="27" xfId="0" applyNumberFormat="1" applyFont="1" applyFill="1" applyBorder="1" applyAlignment="1" applyProtection="1">
      <alignment horizontal="center"/>
      <protection hidden="1"/>
    </xf>
    <xf numFmtId="166" fontId="37" fillId="0" borderId="28" xfId="0" applyNumberFormat="1" applyFont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 vertical="center" wrapText="1"/>
    </xf>
    <xf numFmtId="0" fontId="31" fillId="0" borderId="29" xfId="3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2" fontId="32" fillId="0" borderId="0" xfId="0" applyNumberFormat="1" applyFont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3" fontId="5" fillId="0" borderId="30" xfId="0" applyNumberFormat="1" applyFont="1" applyFill="1" applyBorder="1" applyAlignment="1" applyProtection="1">
      <alignment horizontal="center"/>
      <protection hidden="1"/>
    </xf>
    <xf numFmtId="174" fontId="25" fillId="35" borderId="31" xfId="0" applyNumberFormat="1" applyFont="1" applyFill="1" applyBorder="1" applyAlignment="1">
      <alignment horizontal="center"/>
    </xf>
    <xf numFmtId="0" fontId="25" fillId="35" borderId="32" xfId="0" applyNumberFormat="1" applyFont="1" applyFill="1" applyBorder="1" applyAlignment="1">
      <alignment horizontal="center"/>
    </xf>
    <xf numFmtId="174" fontId="25" fillId="35" borderId="32" xfId="0" applyNumberFormat="1" applyFont="1" applyFill="1" applyBorder="1" applyAlignment="1">
      <alignment horizontal="center"/>
    </xf>
    <xf numFmtId="174" fontId="25" fillId="35" borderId="32" xfId="0" applyNumberFormat="1" applyFont="1" applyFill="1" applyBorder="1" applyAlignment="1" applyProtection="1">
      <alignment horizontal="center"/>
      <protection hidden="1"/>
    </xf>
    <xf numFmtId="174" fontId="25" fillId="0" borderId="32" xfId="0" applyNumberFormat="1" applyFont="1" applyBorder="1" applyAlignment="1" applyProtection="1">
      <alignment horizontal="center"/>
      <protection hidden="1" locked="0"/>
    </xf>
    <xf numFmtId="174" fontId="25" fillId="0" borderId="32" xfId="0" applyNumberFormat="1" applyFont="1" applyBorder="1" applyAlignment="1">
      <alignment horizontal="center"/>
    </xf>
    <xf numFmtId="174" fontId="25" fillId="35" borderId="33" xfId="0" applyNumberFormat="1" applyFont="1" applyFill="1" applyBorder="1" applyAlignment="1" applyProtection="1">
      <alignment horizontal="center"/>
      <protection hidden="1"/>
    </xf>
    <xf numFmtId="0" fontId="32" fillId="35" borderId="34" xfId="0" applyFont="1" applyFill="1" applyBorder="1" applyAlignment="1" applyProtection="1">
      <alignment horizontal="center"/>
      <protection hidden="1"/>
    </xf>
    <xf numFmtId="1" fontId="24" fillId="0" borderId="32" xfId="0" applyNumberFormat="1" applyFont="1" applyFill="1" applyBorder="1" applyAlignment="1" applyProtection="1">
      <alignment horizontal="center" vertical="center"/>
      <protection hidden="1" locked="0"/>
    </xf>
    <xf numFmtId="1" fontId="24" fillId="0" borderId="33" xfId="0" applyNumberFormat="1" applyFont="1" applyFill="1" applyBorder="1" applyAlignment="1" applyProtection="1">
      <alignment horizontal="center" vertical="center"/>
      <protection hidden="1" locked="0"/>
    </xf>
    <xf numFmtId="1" fontId="24" fillId="0" borderId="35" xfId="0" applyNumberFormat="1" applyFont="1" applyFill="1" applyBorder="1" applyAlignment="1" applyProtection="1">
      <alignment horizontal="center" vertical="center"/>
      <protection hidden="1" locked="0"/>
    </xf>
    <xf numFmtId="174" fontId="25" fillId="35" borderId="34" xfId="0" applyNumberFormat="1" applyFont="1" applyFill="1" applyBorder="1" applyAlignment="1">
      <alignment horizontal="center"/>
    </xf>
    <xf numFmtId="174" fontId="25" fillId="35" borderId="0" xfId="0" applyNumberFormat="1" applyFont="1" applyFill="1" applyBorder="1" applyAlignment="1" applyProtection="1">
      <alignment horizontal="center"/>
      <protection hidden="1"/>
    </xf>
    <xf numFmtId="174" fontId="25" fillId="35" borderId="0" xfId="0" applyNumberFormat="1" applyFont="1" applyFill="1" applyBorder="1" applyAlignment="1">
      <alignment horizontal="center"/>
    </xf>
    <xf numFmtId="0" fontId="25" fillId="35" borderId="0" xfId="0" applyNumberFormat="1" applyFont="1" applyFill="1" applyBorder="1" applyAlignment="1">
      <alignment horizontal="center"/>
    </xf>
    <xf numFmtId="174" fontId="25" fillId="0" borderId="0" xfId="0" applyNumberFormat="1" applyFont="1" applyBorder="1" applyAlignment="1" applyProtection="1">
      <alignment horizontal="center"/>
      <protection hidden="1" locked="0"/>
    </xf>
    <xf numFmtId="174" fontId="25" fillId="0" borderId="0" xfId="0" applyNumberFormat="1" applyFont="1" applyBorder="1" applyAlignment="1">
      <alignment horizontal="center"/>
    </xf>
    <xf numFmtId="174" fontId="25" fillId="35" borderId="35" xfId="0" applyNumberFormat="1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3" fillId="33" borderId="36" xfId="0" applyNumberFormat="1" applyFont="1" applyFill="1" applyBorder="1" applyAlignment="1" applyProtection="1">
      <alignment horizontal="center"/>
      <protection locked="0"/>
    </xf>
    <xf numFmtId="49" fontId="29" fillId="0" borderId="37" xfId="0" applyNumberFormat="1" applyFont="1" applyFill="1" applyBorder="1" applyAlignment="1" applyProtection="1">
      <alignment horizontal="center"/>
      <protection locked="0"/>
    </xf>
    <xf numFmtId="0" fontId="22" fillId="37" borderId="38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10" fontId="22" fillId="0" borderId="32" xfId="0" applyNumberFormat="1" applyFont="1" applyFill="1" applyBorder="1" applyAlignment="1" applyProtection="1">
      <alignment horizontal="center"/>
      <protection hidden="1"/>
    </xf>
    <xf numFmtId="166" fontId="21" fillId="33" borderId="40" xfId="0" applyNumberFormat="1" applyFont="1" applyFill="1" applyBorder="1" applyAlignment="1" applyProtection="1">
      <alignment horizontal="center" vertical="center"/>
      <protection locked="0"/>
    </xf>
    <xf numFmtId="0" fontId="3" fillId="37" borderId="41" xfId="0" applyFont="1" applyFill="1" applyBorder="1" applyAlignment="1" applyProtection="1">
      <alignment horizontal="center"/>
      <protection hidden="1"/>
    </xf>
    <xf numFmtId="10" fontId="22" fillId="0" borderId="41" xfId="0" applyNumberFormat="1" applyFont="1" applyFill="1" applyBorder="1" applyAlignment="1" applyProtection="1">
      <alignment horizontal="center"/>
      <protection hidden="1"/>
    </xf>
    <xf numFmtId="49" fontId="2" fillId="33" borderId="40" xfId="0" applyNumberFormat="1" applyFont="1" applyFill="1" applyBorder="1" applyAlignment="1" applyProtection="1">
      <alignment horizontal="center"/>
      <protection locked="0"/>
    </xf>
    <xf numFmtId="0" fontId="3" fillId="37" borderId="41" xfId="0" applyFont="1" applyFill="1" applyBorder="1" applyAlignment="1">
      <alignment horizontal="center"/>
    </xf>
    <xf numFmtId="10" fontId="22" fillId="0" borderId="42" xfId="0" applyNumberFormat="1" applyFont="1" applyFill="1" applyBorder="1" applyAlignment="1" applyProtection="1">
      <alignment horizontal="center"/>
      <protection hidden="1"/>
    </xf>
    <xf numFmtId="0" fontId="18" fillId="35" borderId="43" xfId="0" applyNumberFormat="1" applyFont="1" applyFill="1" applyBorder="1" applyAlignment="1" applyProtection="1">
      <alignment horizontal="right"/>
      <protection locked="0"/>
    </xf>
    <xf numFmtId="0" fontId="5" fillId="0" borderId="44" xfId="0" applyFont="1" applyBorder="1" applyAlignment="1">
      <alignment horizontal="right"/>
    </xf>
    <xf numFmtId="0" fontId="5" fillId="35" borderId="43" xfId="0" applyFont="1" applyFill="1" applyBorder="1" applyAlignment="1" applyProtection="1">
      <alignment horizontal="center"/>
      <protection hidden="1"/>
    </xf>
    <xf numFmtId="0" fontId="5" fillId="35" borderId="32" xfId="0" applyFont="1" applyFill="1" applyBorder="1" applyAlignment="1">
      <alignment horizontal="center"/>
    </xf>
    <xf numFmtId="4" fontId="8" fillId="33" borderId="43" xfId="0" applyNumberFormat="1" applyFont="1" applyFill="1" applyBorder="1" applyAlignment="1" applyProtection="1">
      <alignment horizontal="center" vertical="center"/>
      <protection locked="0"/>
    </xf>
    <xf numFmtId="1" fontId="0" fillId="0" borderId="45" xfId="0" applyNumberFormat="1" applyBorder="1" applyAlignment="1">
      <alignment horizontal="center"/>
    </xf>
    <xf numFmtId="4" fontId="8" fillId="33" borderId="43" xfId="0" applyNumberFormat="1" applyFont="1" applyFill="1" applyBorder="1" applyAlignment="1" applyProtection="1">
      <alignment horizontal="center"/>
      <protection locked="0"/>
    </xf>
    <xf numFmtId="1" fontId="0" fillId="0" borderId="46" xfId="0" applyNumberFormat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0" borderId="40" xfId="0" applyFont="1" applyFill="1" applyBorder="1" applyAlignment="1" applyProtection="1">
      <alignment horizontal="center"/>
      <protection hidden="1"/>
    </xf>
    <xf numFmtId="0" fontId="28" fillId="35" borderId="32" xfId="0" applyFont="1" applyFill="1" applyBorder="1" applyAlignment="1" applyProtection="1">
      <alignment horizontal="right"/>
      <protection locked="0"/>
    </xf>
    <xf numFmtId="4" fontId="28" fillId="35" borderId="32" xfId="0" applyNumberFormat="1" applyFont="1" applyFill="1" applyBorder="1" applyAlignment="1" applyProtection="1">
      <alignment horizontal="right"/>
      <protection locked="0"/>
    </xf>
    <xf numFmtId="0" fontId="9" fillId="35" borderId="43" xfId="0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center" vertical="center" shrinkToFit="1"/>
    </xf>
    <xf numFmtId="4" fontId="0" fillId="33" borderId="43" xfId="0" applyNumberFormat="1" applyFont="1" applyFill="1" applyBorder="1" applyAlignment="1" applyProtection="1">
      <alignment horizontal="center"/>
      <protection locked="0"/>
    </xf>
    <xf numFmtId="169" fontId="0" fillId="33" borderId="43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hidden="1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8" fillId="0" borderId="50" xfId="36" applyFont="1" applyBorder="1" applyAlignment="1" applyProtection="1">
      <alignment horizontal="center"/>
      <protection/>
    </xf>
    <xf numFmtId="49" fontId="8" fillId="0" borderId="51" xfId="0" applyNumberFormat="1" applyFont="1" applyBorder="1" applyAlignment="1">
      <alignment horizontal="center"/>
    </xf>
    <xf numFmtId="0" fontId="10" fillId="35" borderId="43" xfId="0" applyFont="1" applyFill="1" applyBorder="1" applyAlignment="1" applyProtection="1">
      <alignment horizontal="right" vertical="center"/>
      <protection hidden="1"/>
    </xf>
    <xf numFmtId="0" fontId="17" fillId="35" borderId="32" xfId="0" applyFont="1" applyFill="1" applyBorder="1" applyAlignment="1" applyProtection="1">
      <alignment horizontal="center"/>
      <protection hidden="1"/>
    </xf>
    <xf numFmtId="0" fontId="3" fillId="35" borderId="43" xfId="0" applyFont="1" applyFill="1" applyBorder="1" applyAlignment="1" applyProtection="1">
      <alignment horizontal="right" vertical="center"/>
      <protection hidden="1"/>
    </xf>
    <xf numFmtId="169" fontId="13" fillId="35" borderId="32" xfId="0" applyNumberFormat="1" applyFont="1" applyFill="1" applyBorder="1" applyAlignment="1" applyProtection="1">
      <alignment horizontal="right" vertical="center"/>
      <protection hidden="1"/>
    </xf>
    <xf numFmtId="0" fontId="0" fillId="36" borderId="44" xfId="0" applyFont="1" applyFill="1" applyBorder="1" applyAlignment="1" applyProtection="1">
      <alignment horizontal="center"/>
      <protection hidden="1"/>
    </xf>
    <xf numFmtId="2" fontId="4" fillId="35" borderId="32" xfId="0" applyNumberFormat="1" applyFont="1" applyFill="1" applyBorder="1" applyAlignment="1" applyProtection="1">
      <alignment horizontal="center"/>
      <protection hidden="1"/>
    </xf>
    <xf numFmtId="4" fontId="4" fillId="35" borderId="52" xfId="0" applyNumberFormat="1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 horizontal="left"/>
    </xf>
    <xf numFmtId="3" fontId="28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38" borderId="53" xfId="0" applyFont="1" applyFill="1" applyBorder="1" applyAlignment="1" applyProtection="1">
      <alignment horizontal="center" vertical="center"/>
      <protection/>
    </xf>
    <xf numFmtId="0" fontId="12" fillId="37" borderId="54" xfId="0" applyFont="1" applyFill="1" applyBorder="1" applyAlignment="1" applyProtection="1">
      <alignment horizontal="center" vertical="center" wrapText="1"/>
      <protection/>
    </xf>
    <xf numFmtId="0" fontId="12" fillId="38" borderId="55" xfId="0" applyFont="1" applyFill="1" applyBorder="1" applyAlignment="1" applyProtection="1">
      <alignment horizontal="center" vertical="center"/>
      <protection/>
    </xf>
    <xf numFmtId="0" fontId="12" fillId="36" borderId="56" xfId="0" applyFont="1" applyFill="1" applyBorder="1" applyAlignment="1" applyProtection="1">
      <alignment horizontal="center" vertical="center" wrapText="1"/>
      <protection/>
    </xf>
    <xf numFmtId="167" fontId="21" fillId="33" borderId="57" xfId="0" applyNumberFormat="1" applyFont="1" applyFill="1" applyBorder="1" applyAlignment="1" applyProtection="1">
      <alignment horizontal="center"/>
      <protection locked="0"/>
    </xf>
    <xf numFmtId="167" fontId="21" fillId="33" borderId="35" xfId="0" applyNumberFormat="1" applyFont="1" applyFill="1" applyBorder="1" applyAlignment="1" applyProtection="1">
      <alignment horizontal="center"/>
      <protection locked="0"/>
    </xf>
    <xf numFmtId="167" fontId="21" fillId="33" borderId="58" xfId="0" applyNumberFormat="1" applyFont="1" applyFill="1" applyBorder="1" applyAlignment="1" applyProtection="1">
      <alignment horizontal="center"/>
      <protection locked="0"/>
    </xf>
    <xf numFmtId="167" fontId="21" fillId="33" borderId="59" xfId="0" applyNumberFormat="1" applyFont="1" applyFill="1" applyBorder="1" applyAlignment="1" applyProtection="1">
      <alignment horizontal="center"/>
      <protection locked="0"/>
    </xf>
    <xf numFmtId="0" fontId="18" fillId="35" borderId="43" xfId="0" applyFont="1" applyFill="1" applyBorder="1" applyAlignment="1" applyProtection="1">
      <alignment horizontal="left"/>
      <protection locked="0"/>
    </xf>
    <xf numFmtId="166" fontId="11" fillId="0" borderId="60" xfId="0" applyNumberFormat="1" applyFont="1" applyBorder="1" applyAlignment="1">
      <alignment horizontal="center" vertical="center"/>
    </xf>
    <xf numFmtId="0" fontId="0" fillId="37" borderId="61" xfId="0" applyFont="1" applyFill="1" applyBorder="1" applyAlignment="1" applyProtection="1">
      <alignment horizontal="center"/>
      <protection hidden="1"/>
    </xf>
    <xf numFmtId="0" fontId="0" fillId="34" borderId="39" xfId="0" applyFont="1" applyFill="1" applyBorder="1" applyAlignment="1" applyProtection="1">
      <alignment horizontal="center"/>
      <protection hidden="1"/>
    </xf>
    <xf numFmtId="0" fontId="0" fillId="34" borderId="62" xfId="0" applyFont="1" applyFill="1" applyBorder="1" applyAlignment="1" applyProtection="1">
      <alignment horizontal="center"/>
      <protection hidden="1"/>
    </xf>
    <xf numFmtId="0" fontId="21" fillId="37" borderId="39" xfId="0" applyFont="1" applyFill="1" applyBorder="1" applyAlignment="1" applyProtection="1">
      <alignment horizontal="right"/>
      <protection hidden="1"/>
    </xf>
    <xf numFmtId="0" fontId="21" fillId="37" borderId="11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Border="1" applyAlignment="1">
      <alignment horizontal="center" vertical="center"/>
    </xf>
    <xf numFmtId="2" fontId="32" fillId="0" borderId="63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right"/>
    </xf>
    <xf numFmtId="177" fontId="4" fillId="0" borderId="35" xfId="0" applyNumberFormat="1" applyFont="1" applyBorder="1" applyAlignment="1">
      <alignment horizontal="center"/>
    </xf>
    <xf numFmtId="177" fontId="4" fillId="0" borderId="33" xfId="0" applyNumberFormat="1" applyFont="1" applyBorder="1" applyAlignment="1">
      <alignment horizontal="center"/>
    </xf>
    <xf numFmtId="0" fontId="0" fillId="0" borderId="64" xfId="0" applyFont="1" applyFill="1" applyBorder="1" applyAlignment="1" applyProtection="1">
      <alignment horizontal="right"/>
      <protection hidden="1"/>
    </xf>
    <xf numFmtId="169" fontId="42" fillId="0" borderId="6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75" fontId="41" fillId="0" borderId="32" xfId="0" applyNumberFormat="1" applyFont="1" applyBorder="1" applyAlignment="1">
      <alignment horizontal="center" vertical="center"/>
    </xf>
    <xf numFmtId="167" fontId="33" fillId="39" borderId="0" xfId="0" applyNumberFormat="1" applyFont="1" applyFill="1" applyBorder="1" applyAlignment="1" applyProtection="1">
      <alignment horizontal="center"/>
      <protection hidden="1"/>
    </xf>
    <xf numFmtId="167" fontId="33" fillId="39" borderId="32" xfId="0" applyNumberFormat="1" applyFont="1" applyFill="1" applyBorder="1" applyAlignment="1" applyProtection="1">
      <alignment horizontal="center"/>
      <protection hidden="1"/>
    </xf>
    <xf numFmtId="49" fontId="8" fillId="33" borderId="28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38" fillId="0" borderId="34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3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2" fontId="0" fillId="0" borderId="61" xfId="0" applyNumberFormat="1" applyFont="1" applyBorder="1" applyAlignment="1">
      <alignment horizontal="left"/>
    </xf>
    <xf numFmtId="169" fontId="9" fillId="5" borderId="10" xfId="0" applyNumberFormat="1" applyFont="1" applyFill="1" applyBorder="1" applyAlignment="1">
      <alignment horizontal="center"/>
    </xf>
    <xf numFmtId="169" fontId="80" fillId="0" borderId="0" xfId="0" applyNumberFormat="1" applyFont="1" applyFill="1" applyBorder="1" applyAlignment="1" applyProtection="1">
      <alignment horizontal="left"/>
      <protection hidden="1"/>
    </xf>
    <xf numFmtId="0" fontId="80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0" fontId="80" fillId="0" borderId="0" xfId="0" applyNumberFormat="1" applyFont="1" applyFill="1" applyBorder="1" applyAlignment="1" applyProtection="1">
      <alignment horizontal="left" vertical="center"/>
      <protection hidden="1"/>
    </xf>
    <xf numFmtId="0" fontId="80" fillId="0" borderId="0" xfId="0" applyFont="1" applyFill="1" applyBorder="1" applyAlignment="1">
      <alignment horizontal="left"/>
    </xf>
    <xf numFmtId="0" fontId="80" fillId="35" borderId="0" xfId="0" applyNumberFormat="1" applyFont="1" applyFill="1" applyBorder="1" applyAlignment="1" applyProtection="1">
      <alignment horizontal="left" vertical="center"/>
      <protection hidden="1"/>
    </xf>
    <xf numFmtId="0" fontId="80" fillId="35" borderId="0" xfId="0" applyFont="1" applyFill="1" applyBorder="1" applyAlignment="1">
      <alignment horizontal="left"/>
    </xf>
    <xf numFmtId="0" fontId="80" fillId="35" borderId="0" xfId="0" applyFont="1" applyFill="1" applyAlignment="1">
      <alignment/>
    </xf>
    <xf numFmtId="0" fontId="80" fillId="35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NumberFormat="1" applyFont="1" applyFill="1" applyBorder="1" applyAlignment="1" applyProtection="1">
      <alignment horizontal="left"/>
      <protection hidden="1"/>
    </xf>
    <xf numFmtId="0" fontId="80" fillId="0" borderId="0" xfId="0" applyFont="1" applyFill="1" applyBorder="1" applyAlignment="1">
      <alignment horizontal="center"/>
    </xf>
    <xf numFmtId="0" fontId="80" fillId="35" borderId="0" xfId="0" applyNumberFormat="1" applyFont="1" applyFill="1" applyBorder="1" applyAlignment="1" applyProtection="1">
      <alignment horizontal="left"/>
      <protection hidden="1"/>
    </xf>
    <xf numFmtId="14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 applyProtection="1">
      <alignment horizontal="left"/>
      <protection hidden="1"/>
    </xf>
    <xf numFmtId="0" fontId="80" fillId="35" borderId="0" xfId="0" applyFont="1" applyFill="1" applyBorder="1" applyAlignment="1">
      <alignment/>
    </xf>
    <xf numFmtId="0" fontId="80" fillId="0" borderId="0" xfId="0" applyFont="1" applyAlignment="1">
      <alignment/>
    </xf>
    <xf numFmtId="14" fontId="80" fillId="0" borderId="0" xfId="0" applyNumberFormat="1" applyFont="1" applyFill="1" applyAlignment="1">
      <alignment/>
    </xf>
    <xf numFmtId="0" fontId="80" fillId="0" borderId="0" xfId="0" applyFont="1" applyFill="1" applyAlignment="1">
      <alignment horizontal="center"/>
    </xf>
    <xf numFmtId="0" fontId="79" fillId="35" borderId="0" xfId="0" applyFont="1" applyFill="1" applyAlignment="1">
      <alignment/>
    </xf>
    <xf numFmtId="0" fontId="80" fillId="35" borderId="0" xfId="0" applyFont="1" applyFill="1" applyAlignment="1">
      <alignment horizontal="center"/>
    </xf>
    <xf numFmtId="49" fontId="80" fillId="0" borderId="0" xfId="0" applyNumberFormat="1" applyFont="1" applyFill="1" applyBorder="1" applyAlignment="1">
      <alignment horizontal="left"/>
    </xf>
    <xf numFmtId="1" fontId="80" fillId="0" borderId="0" xfId="0" applyNumberFormat="1" applyFont="1" applyFill="1" applyBorder="1" applyAlignment="1" applyProtection="1">
      <alignment horizontal="left"/>
      <protection hidden="1"/>
    </xf>
    <xf numFmtId="168" fontId="80" fillId="0" borderId="0" xfId="0" applyNumberFormat="1" applyFont="1" applyFill="1" applyBorder="1" applyAlignment="1" applyProtection="1">
      <alignment horizontal="left"/>
      <protection hidden="1"/>
    </xf>
    <xf numFmtId="167" fontId="80" fillId="0" borderId="0" xfId="0" applyNumberFormat="1" applyFont="1" applyFill="1" applyBorder="1" applyAlignment="1" applyProtection="1">
      <alignment horizontal="left"/>
      <protection hidden="1"/>
    </xf>
    <xf numFmtId="0" fontId="80" fillId="0" borderId="0" xfId="0" applyFont="1" applyFill="1" applyAlignment="1">
      <alignment horizontal="right"/>
    </xf>
    <xf numFmtId="2" fontId="80" fillId="0" borderId="0" xfId="0" applyNumberFormat="1" applyFont="1" applyFill="1" applyBorder="1" applyAlignment="1" applyProtection="1">
      <alignment horizontal="left"/>
      <protection hidden="1"/>
    </xf>
    <xf numFmtId="169" fontId="80" fillId="0" borderId="0" xfId="0" applyNumberFormat="1" applyFont="1" applyFill="1" applyAlignment="1">
      <alignment horizontal="left"/>
    </xf>
    <xf numFmtId="0" fontId="80" fillId="0" borderId="0" xfId="0" applyFont="1" applyFill="1" applyBorder="1" applyAlignment="1" applyProtection="1">
      <alignment horizontal="center"/>
      <protection hidden="1" locked="0"/>
    </xf>
    <xf numFmtId="0" fontId="80" fillId="0" borderId="0" xfId="0" applyNumberFormat="1" applyFont="1" applyFill="1" applyBorder="1" applyAlignment="1" applyProtection="1">
      <alignment horizontal="center"/>
      <protection hidden="1" locked="0"/>
    </xf>
    <xf numFmtId="0" fontId="80" fillId="0" borderId="0" xfId="0" applyNumberFormat="1" applyFont="1" applyFill="1" applyBorder="1" applyAlignment="1" applyProtection="1">
      <alignment horizontal="left"/>
      <protection/>
    </xf>
    <xf numFmtId="0" fontId="80" fillId="0" borderId="0" xfId="0" applyFont="1" applyFill="1" applyBorder="1" applyAlignment="1">
      <alignment/>
    </xf>
    <xf numFmtId="0" fontId="4" fillId="0" borderId="57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0" fillId="37" borderId="39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4" fillId="35" borderId="43" xfId="0" applyFont="1" applyFill="1" applyBorder="1" applyAlignment="1" applyProtection="1">
      <alignment horizontal="right"/>
      <protection hidden="1"/>
    </xf>
    <xf numFmtId="0" fontId="4" fillId="35" borderId="0" xfId="0" applyFont="1" applyFill="1" applyBorder="1" applyAlignment="1" applyProtection="1">
      <alignment horizontal="right"/>
      <protection hidden="1"/>
    </xf>
    <xf numFmtId="0" fontId="6" fillId="0" borderId="43" xfId="0" applyFont="1" applyBorder="1" applyAlignment="1">
      <alignment/>
    </xf>
    <xf numFmtId="0" fontId="0" fillId="37" borderId="43" xfId="0" applyFont="1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0" fillId="37" borderId="39" xfId="0" applyFont="1" applyFill="1" applyBorder="1" applyAlignment="1" applyProtection="1">
      <alignment horizontal="left"/>
      <protection hidden="1"/>
    </xf>
    <xf numFmtId="0" fontId="0" fillId="0" borderId="62" xfId="0" applyBorder="1" applyAlignment="1">
      <alignment horizontal="left"/>
    </xf>
    <xf numFmtId="0" fontId="18" fillId="35" borderId="43" xfId="0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0" fontId="28" fillId="35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8" fillId="36" borderId="4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0" borderId="66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18" fillId="35" borderId="32" xfId="0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49" fontId="33" fillId="39" borderId="68" xfId="0" applyNumberFormat="1" applyFont="1" applyFill="1" applyBorder="1" applyAlignment="1" applyProtection="1">
      <alignment horizontal="center"/>
      <protection locked="0"/>
    </xf>
    <xf numFmtId="49" fontId="33" fillId="39" borderId="36" xfId="0" applyNumberFormat="1" applyFont="1" applyFill="1" applyBorder="1" applyAlignment="1" applyProtection="1">
      <alignment horizontal="center"/>
      <protection locked="0"/>
    </xf>
    <xf numFmtId="0" fontId="23" fillId="38" borderId="53" xfId="0" applyFont="1" applyFill="1" applyBorder="1" applyAlignment="1" applyProtection="1">
      <alignment horizontal="center" vertical="center"/>
      <protection/>
    </xf>
    <xf numFmtId="0" fontId="23" fillId="38" borderId="69" xfId="0" applyFont="1" applyFill="1" applyBorder="1" applyAlignment="1" applyProtection="1">
      <alignment horizontal="center" vertical="center"/>
      <protection/>
    </xf>
    <xf numFmtId="0" fontId="7" fillId="40" borderId="70" xfId="0" applyFont="1" applyFill="1" applyBorder="1" applyAlignment="1" applyProtection="1">
      <alignment horizontal="center"/>
      <protection hidden="1"/>
    </xf>
    <xf numFmtId="0" fontId="7" fillId="40" borderId="71" xfId="0" applyFont="1" applyFill="1" applyBorder="1" applyAlignment="1" applyProtection="1">
      <alignment horizontal="center"/>
      <protection hidden="1"/>
    </xf>
    <xf numFmtId="0" fontId="0" fillId="37" borderId="61" xfId="0" applyFont="1" applyFill="1" applyBorder="1" applyAlignment="1" applyProtection="1">
      <alignment horizontal="center"/>
      <protection hidden="1"/>
    </xf>
    <xf numFmtId="0" fontId="0" fillId="37" borderId="11" xfId="0" applyFont="1" applyFill="1" applyBorder="1" applyAlignment="1" applyProtection="1">
      <alignment horizontal="center"/>
      <protection hidden="1"/>
    </xf>
    <xf numFmtId="0" fontId="0" fillId="37" borderId="13" xfId="0" applyFont="1" applyFill="1" applyBorder="1" applyAlignment="1" applyProtection="1">
      <alignment horizontal="center"/>
      <protection hidden="1"/>
    </xf>
    <xf numFmtId="0" fontId="0" fillId="33" borderId="43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center"/>
    </xf>
    <xf numFmtId="0" fontId="0" fillId="37" borderId="11" xfId="0" applyFont="1" applyFill="1" applyBorder="1" applyAlignment="1" applyProtection="1">
      <alignment horizontal="center" vertical="center" wrapText="1" shrinkToFit="1"/>
      <protection hidden="1"/>
    </xf>
    <xf numFmtId="0" fontId="0" fillId="37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44" xfId="0" applyFill="1" applyBorder="1" applyAlignment="1" applyProtection="1">
      <alignment horizontal="center"/>
      <protection hidden="1"/>
    </xf>
    <xf numFmtId="0" fontId="0" fillId="37" borderId="32" xfId="0" applyFont="1" applyFill="1" applyBorder="1" applyAlignment="1" applyProtection="1">
      <alignment horizontal="center"/>
      <protection hidden="1"/>
    </xf>
    <xf numFmtId="0" fontId="39" fillId="38" borderId="53" xfId="0" applyFont="1" applyFill="1" applyBorder="1" applyAlignment="1" applyProtection="1">
      <alignment horizontal="center" vertical="center" wrapText="1"/>
      <protection/>
    </xf>
    <xf numFmtId="0" fontId="39" fillId="38" borderId="69" xfId="0" applyFont="1" applyFill="1" applyBorder="1" applyAlignment="1" applyProtection="1">
      <alignment horizontal="center" vertical="center" wrapText="1"/>
      <protection/>
    </xf>
    <xf numFmtId="0" fontId="0" fillId="37" borderId="61" xfId="0" applyFill="1" applyBorder="1" applyAlignment="1" applyProtection="1">
      <alignment horizontal="center"/>
      <protection hidden="1"/>
    </xf>
    <xf numFmtId="0" fontId="0" fillId="37" borderId="62" xfId="0" applyFill="1" applyBorder="1" applyAlignment="1" applyProtection="1">
      <alignment horizontal="center"/>
      <protection hidden="1"/>
    </xf>
    <xf numFmtId="3" fontId="24" fillId="33" borderId="32" xfId="0" applyNumberFormat="1" applyFont="1" applyFill="1" applyBorder="1" applyAlignment="1" applyProtection="1">
      <alignment horizontal="center" vertical="center" shrinkToFit="1"/>
      <protection locked="0"/>
    </xf>
    <xf numFmtId="3" fontId="24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27" fillId="36" borderId="44" xfId="0" applyFont="1" applyFill="1" applyBorder="1" applyAlignment="1" applyProtection="1">
      <alignment horizontal="center" vertical="center" wrapText="1"/>
      <protection hidden="1"/>
    </xf>
    <xf numFmtId="0" fontId="27" fillId="36" borderId="41" xfId="0" applyFont="1" applyFill="1" applyBorder="1" applyAlignment="1" applyProtection="1">
      <alignment horizontal="center" vertical="center" wrapText="1"/>
      <protection hidden="1"/>
    </xf>
    <xf numFmtId="3" fontId="0" fillId="37" borderId="13" xfId="0" applyNumberFormat="1" applyFont="1" applyFill="1" applyBorder="1" applyAlignment="1" applyProtection="1">
      <alignment horizontal="center" vertical="center"/>
      <protection locked="0"/>
    </xf>
    <xf numFmtId="3" fontId="0" fillId="37" borderId="72" xfId="0" applyNumberFormat="1" applyFont="1" applyFill="1" applyBorder="1" applyAlignment="1" applyProtection="1">
      <alignment horizontal="center" vertical="center"/>
      <protection locked="0"/>
    </xf>
    <xf numFmtId="2" fontId="14" fillId="33" borderId="73" xfId="36" applyNumberFormat="1" applyFill="1" applyBorder="1" applyAlignment="1" applyProtection="1">
      <alignment horizontal="center" vertical="center"/>
      <protection/>
    </xf>
    <xf numFmtId="2" fontId="14" fillId="33" borderId="74" xfId="36" applyNumberFormat="1" applyFill="1" applyBorder="1" applyAlignment="1" applyProtection="1">
      <alignment horizontal="center" vertical="center"/>
      <protection/>
    </xf>
    <xf numFmtId="2" fontId="14" fillId="33" borderId="14" xfId="36" applyNumberFormat="1" applyFont="1" applyFill="1" applyBorder="1" applyAlignment="1" applyProtection="1">
      <alignment horizontal="center" vertical="center"/>
      <protection/>
    </xf>
    <xf numFmtId="2" fontId="14" fillId="33" borderId="75" xfId="36" applyNumberForma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right"/>
      <protection hidden="1"/>
    </xf>
    <xf numFmtId="49" fontId="35" fillId="0" borderId="34" xfId="36" applyNumberFormat="1" applyFont="1" applyFill="1" applyBorder="1" applyAlignment="1" applyProtection="1">
      <alignment horizontal="center" vertical="center" wrapText="1"/>
      <protection hidden="1"/>
    </xf>
    <xf numFmtId="49" fontId="35" fillId="0" borderId="31" xfId="36" applyNumberFormat="1" applyFont="1" applyFill="1" applyBorder="1" applyAlignment="1" applyProtection="1">
      <alignment horizontal="center" vertical="center" wrapText="1"/>
      <protection hidden="1"/>
    </xf>
    <xf numFmtId="49" fontId="35" fillId="0" borderId="0" xfId="36" applyNumberFormat="1" applyFont="1" applyFill="1" applyBorder="1" applyAlignment="1" applyProtection="1">
      <alignment horizontal="center" vertical="center" wrapText="1"/>
      <protection hidden="1"/>
    </xf>
    <xf numFmtId="49" fontId="35" fillId="0" borderId="32" xfId="36" applyNumberFormat="1" applyFont="1" applyFill="1" applyBorder="1" applyAlignment="1" applyProtection="1">
      <alignment horizontal="center" vertical="center" wrapText="1"/>
      <protection hidden="1"/>
    </xf>
    <xf numFmtId="49" fontId="35" fillId="0" borderId="35" xfId="36" applyNumberFormat="1" applyFont="1" applyFill="1" applyBorder="1" applyAlignment="1" applyProtection="1">
      <alignment horizontal="center" vertical="center" wrapText="1"/>
      <protection hidden="1"/>
    </xf>
    <xf numFmtId="49" fontId="35" fillId="0" borderId="33" xfId="36" applyNumberFormat="1" applyFont="1" applyFill="1" applyBorder="1" applyAlignment="1" applyProtection="1">
      <alignment horizontal="center" vertical="center" wrapText="1"/>
      <protection hidden="1"/>
    </xf>
    <xf numFmtId="0" fontId="36" fillId="0" borderId="34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19" fillId="0" borderId="41" xfId="0" applyFont="1" applyBorder="1" applyAlignment="1">
      <alignment horizontal="center" vertical="center" wrapText="1" shrinkToFit="1"/>
    </xf>
    <xf numFmtId="0" fontId="19" fillId="0" borderId="76" xfId="0" applyFont="1" applyBorder="1" applyAlignment="1">
      <alignment horizontal="center" vertical="center" wrapText="1" shrinkToFit="1"/>
    </xf>
    <xf numFmtId="169" fontId="10" fillId="35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4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35" borderId="77" xfId="0" applyFont="1" applyFill="1" applyBorder="1" applyAlignment="1" applyProtection="1">
      <alignment horizontal="right"/>
      <protection hidden="1"/>
    </xf>
    <xf numFmtId="0" fontId="4" fillId="35" borderId="27" xfId="0" applyFont="1" applyFill="1" applyBorder="1" applyAlignment="1" applyProtection="1">
      <alignment horizontal="right"/>
      <protection hidden="1"/>
    </xf>
    <xf numFmtId="0" fontId="4" fillId="0" borderId="4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36" borderId="39" xfId="0" applyFont="1" applyFill="1" applyBorder="1" applyAlignment="1" applyProtection="1">
      <alignment horizontal="right"/>
      <protection hidden="1"/>
    </xf>
    <xf numFmtId="0" fontId="0" fillId="36" borderId="11" xfId="0" applyFont="1" applyFill="1" applyBorder="1" applyAlignment="1" applyProtection="1">
      <alignment horizontal="right"/>
      <protection hidden="1"/>
    </xf>
    <xf numFmtId="0" fontId="10" fillId="35" borderId="0" xfId="0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6" borderId="10" xfId="0" applyNumberFormat="1" applyFont="1" applyFill="1" applyBorder="1" applyAlignment="1">
      <alignment horizontal="left"/>
    </xf>
    <xf numFmtId="49" fontId="8" fillId="36" borderId="67" xfId="0" applyNumberFormat="1" applyFont="1" applyFill="1" applyBorder="1" applyAlignment="1">
      <alignment horizontal="left"/>
    </xf>
    <xf numFmtId="0" fontId="80" fillId="0" borderId="0" xfId="0" applyFont="1" applyFill="1" applyBorder="1" applyAlignment="1">
      <alignment horizontal="right"/>
    </xf>
    <xf numFmtId="0" fontId="26" fillId="0" borderId="11" xfId="36" applyFont="1" applyFill="1" applyBorder="1" applyAlignment="1" applyProtection="1">
      <alignment horizontal="center" vertical="center"/>
      <protection/>
    </xf>
    <xf numFmtId="0" fontId="26" fillId="0" borderId="24" xfId="36" applyFont="1" applyFill="1" applyBorder="1" applyAlignment="1" applyProtection="1">
      <alignment horizontal="center" vertical="center"/>
      <protection/>
    </xf>
    <xf numFmtId="0" fontId="26" fillId="0" borderId="0" xfId="36" applyFont="1" applyFill="1" applyBorder="1" applyAlignment="1" applyProtection="1">
      <alignment horizontal="center" vertical="center"/>
      <protection/>
    </xf>
    <xf numFmtId="0" fontId="26" fillId="0" borderId="25" xfId="36" applyFont="1" applyFill="1" applyBorder="1" applyAlignment="1" applyProtection="1">
      <alignment horizontal="center" vertical="center"/>
      <protection/>
    </xf>
    <xf numFmtId="0" fontId="7" fillId="40" borderId="78" xfId="0" applyFont="1" applyFill="1" applyBorder="1" applyAlignment="1" applyProtection="1">
      <alignment horizontal="center"/>
      <protection hidden="1"/>
    </xf>
    <xf numFmtId="0" fontId="7" fillId="40" borderId="79" xfId="0" applyFont="1" applyFill="1" applyBorder="1" applyAlignment="1" applyProtection="1">
      <alignment horizontal="center"/>
      <protection hidden="1"/>
    </xf>
    <xf numFmtId="0" fontId="34" fillId="0" borderId="7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12" fillId="38" borderId="53" xfId="0" applyFont="1" applyFill="1" applyBorder="1" applyAlignment="1" applyProtection="1">
      <alignment horizontal="center" vertical="center" wrapText="1"/>
      <protection/>
    </xf>
    <xf numFmtId="0" fontId="12" fillId="38" borderId="69" xfId="0" applyFont="1" applyFill="1" applyBorder="1" applyAlignment="1" applyProtection="1">
      <alignment horizontal="center" vertical="center" wrapText="1"/>
      <protection/>
    </xf>
    <xf numFmtId="0" fontId="14" fillId="38" borderId="54" xfId="36" applyFill="1" applyBorder="1" applyAlignment="1" applyProtection="1">
      <alignment horizontal="center" vertical="center" wrapText="1"/>
      <protection/>
    </xf>
    <xf numFmtId="0" fontId="14" fillId="38" borderId="80" xfId="36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</xdr:rowOff>
    </xdr:from>
    <xdr:to>
      <xdr:col>3</xdr:col>
      <xdr:colOff>1190625</xdr:colOff>
      <xdr:row>1</xdr:row>
      <xdr:rowOff>57150</xdr:rowOff>
    </xdr:to>
    <xdr:pic>
      <xdr:nvPicPr>
        <xdr:cNvPr id="1" name="Picture 310" descr="B:\1\Semac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90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ach@semach.cz" TargetMode="External" /><Relationship Id="rId2" Type="http://schemas.openxmlformats.org/officeDocument/2006/relationships/hyperlink" Target="http://www.semach.cz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G262"/>
  <sheetViews>
    <sheetView showGridLines="0" showRowColHeaders="0" tabSelected="1" zoomScalePageLayoutView="0" workbookViewId="0" topLeftCell="A1">
      <selection activeCell="D1" sqref="D1"/>
    </sheetView>
  </sheetViews>
  <sheetFormatPr defaultColWidth="9.00390625" defaultRowHeight="12.75"/>
  <cols>
    <col min="1" max="5" width="15.625" style="0" customWidth="1"/>
    <col min="6" max="6" width="19.875" style="0" customWidth="1"/>
    <col min="7" max="7" width="17.375" style="0" customWidth="1"/>
    <col min="8" max="8" width="9.50390625" style="0" customWidth="1"/>
    <col min="9" max="9" width="22.875" style="0" customWidth="1"/>
    <col min="10" max="10" width="15.375" style="0" customWidth="1"/>
    <col min="11" max="11" width="28.375" style="0" customWidth="1"/>
    <col min="12" max="12" width="18.50390625" style="0" bestFit="1" customWidth="1"/>
    <col min="13" max="13" width="4.00390625" style="0" customWidth="1"/>
    <col min="14" max="14" width="24.625" style="0" bestFit="1" customWidth="1"/>
    <col min="15" max="15" width="12.625" style="0" bestFit="1" customWidth="1"/>
    <col min="16" max="16" width="4.625" style="0" customWidth="1"/>
    <col min="17" max="17" width="25.375" style="0" customWidth="1"/>
    <col min="18" max="18" width="4.00390625" style="0" customWidth="1"/>
    <col min="19" max="19" width="26.50390625" style="0" customWidth="1"/>
    <col min="20" max="20" width="4.00390625" style="0" customWidth="1"/>
    <col min="21" max="21" width="2.625" style="0" customWidth="1"/>
    <col min="22" max="22" width="8.625" style="0" customWidth="1"/>
    <col min="23" max="23" width="10.375" style="0" bestFit="1" customWidth="1"/>
  </cols>
  <sheetData>
    <row r="1" spans="1:59" ht="15" customHeight="1">
      <c r="A1" s="209"/>
      <c r="B1" s="210"/>
      <c r="C1" s="72"/>
      <c r="D1" s="73"/>
      <c r="E1" s="74" t="s">
        <v>74</v>
      </c>
      <c r="F1" s="213" t="s">
        <v>228</v>
      </c>
      <c r="G1" s="214"/>
      <c r="H1" s="153">
        <f>IF(H13&gt;0,MAX(H29*H13*16,INDEX(O28:O34,B19)),0)*(1-E6)</f>
        <v>0</v>
      </c>
      <c r="I1" s="154"/>
      <c r="J1" s="155"/>
      <c r="K1" s="155"/>
      <c r="L1" s="156"/>
      <c r="M1" s="154"/>
      <c r="N1" s="157"/>
      <c r="O1" s="157"/>
      <c r="P1" s="157"/>
      <c r="Q1" s="158" t="s">
        <v>129</v>
      </c>
      <c r="R1" s="159" t="s">
        <v>130</v>
      </c>
      <c r="S1" s="160" t="s">
        <v>133</v>
      </c>
      <c r="T1" s="161" t="s">
        <v>130</v>
      </c>
      <c r="U1" s="157"/>
      <c r="V1" s="162"/>
      <c r="W1" s="155"/>
      <c r="X1" s="162"/>
      <c r="Y1" s="162"/>
      <c r="Z1" s="162"/>
      <c r="AA1" s="162"/>
      <c r="AB1" s="155"/>
      <c r="AC1" s="155"/>
      <c r="AD1" s="155"/>
      <c r="AE1" s="155"/>
      <c r="AF1" s="162" t="s">
        <v>207</v>
      </c>
      <c r="AG1" s="155"/>
      <c r="AH1" s="163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</row>
    <row r="2" spans="1:59" ht="15" customHeight="1">
      <c r="A2" s="75" t="s">
        <v>26</v>
      </c>
      <c r="B2" s="2" t="s">
        <v>116</v>
      </c>
      <c r="C2" s="3" t="s">
        <v>83</v>
      </c>
      <c r="D2" s="48" t="s">
        <v>98</v>
      </c>
      <c r="E2" s="76">
        <f>H31/100</f>
        <v>0</v>
      </c>
      <c r="F2" s="211" t="str">
        <f>IF(A3=0,"Nebylo dodáno :","Datum objednání :")</f>
        <v>Nebylo dodáno :</v>
      </c>
      <c r="G2" s="40">
        <f>A3</f>
        <v>0</v>
      </c>
      <c r="H2" s="153">
        <f>IF(H14&gt;0,MAX(H29*H14*16,INDEX(P28:P34,B20)),0)*(1-E8)</f>
        <v>0</v>
      </c>
      <c r="I2" s="164" t="s">
        <v>0</v>
      </c>
      <c r="J2" s="157">
        <v>40</v>
      </c>
      <c r="K2" s="164" t="s">
        <v>141</v>
      </c>
      <c r="L2" s="157">
        <v>3</v>
      </c>
      <c r="M2" s="157">
        <v>5</v>
      </c>
      <c r="N2" s="164" t="s">
        <v>123</v>
      </c>
      <c r="O2" s="165">
        <v>0</v>
      </c>
      <c r="P2" s="154">
        <v>0</v>
      </c>
      <c r="Q2" s="159" t="s">
        <v>110</v>
      </c>
      <c r="R2" s="159">
        <v>0</v>
      </c>
      <c r="S2" s="166" t="s">
        <v>112</v>
      </c>
      <c r="T2" s="161">
        <v>0</v>
      </c>
      <c r="U2" s="157"/>
      <c r="V2" s="164" t="s">
        <v>151</v>
      </c>
      <c r="W2" s="155"/>
      <c r="X2" s="162"/>
      <c r="Y2" s="162"/>
      <c r="Z2" s="162"/>
      <c r="AA2" s="162"/>
      <c r="AB2" s="155"/>
      <c r="AC2" s="155"/>
      <c r="AD2" s="155"/>
      <c r="AE2" s="155"/>
      <c r="AF2" s="167">
        <v>44921</v>
      </c>
      <c r="AG2" s="155"/>
      <c r="AH2" s="163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</row>
    <row r="3" spans="1:59" ht="15" customHeight="1">
      <c r="A3" s="77"/>
      <c r="B3" s="47"/>
      <c r="C3" s="1">
        <v>0</v>
      </c>
      <c r="D3" s="125">
        <v>44958</v>
      </c>
      <c r="E3" s="78" t="s">
        <v>77</v>
      </c>
      <c r="F3" s="212"/>
      <c r="G3" s="41"/>
      <c r="H3" s="155"/>
      <c r="I3" s="164" t="s">
        <v>1</v>
      </c>
      <c r="J3" s="157">
        <v>60</v>
      </c>
      <c r="K3" s="164" t="s">
        <v>142</v>
      </c>
      <c r="L3" s="157">
        <v>2</v>
      </c>
      <c r="M3" s="157">
        <v>3</v>
      </c>
      <c r="N3" s="164" t="s">
        <v>208</v>
      </c>
      <c r="O3" s="165">
        <v>0</v>
      </c>
      <c r="P3" s="154">
        <v>0</v>
      </c>
      <c r="Q3" s="166" t="s">
        <v>210</v>
      </c>
      <c r="R3" s="159">
        <v>150</v>
      </c>
      <c r="S3" s="160" t="s">
        <v>196</v>
      </c>
      <c r="T3" s="161">
        <v>100</v>
      </c>
      <c r="U3" s="157"/>
      <c r="V3" s="162" t="s">
        <v>226</v>
      </c>
      <c r="W3" s="155"/>
      <c r="X3" s="162"/>
      <c r="Y3" s="162"/>
      <c r="Z3" s="162"/>
      <c r="AA3" s="162"/>
      <c r="AB3" s="155"/>
      <c r="AC3" s="155"/>
      <c r="AD3" s="155"/>
      <c r="AE3" s="155"/>
      <c r="AF3" s="167">
        <v>45023</v>
      </c>
      <c r="AG3" s="155"/>
      <c r="AH3" s="163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</row>
    <row r="4" spans="1:59" ht="15" customHeight="1">
      <c r="A4" s="127" t="s">
        <v>184</v>
      </c>
      <c r="B4" s="128" t="s">
        <v>100</v>
      </c>
      <c r="C4" s="215" t="s">
        <v>40</v>
      </c>
      <c r="D4" s="216"/>
      <c r="E4" s="79">
        <f>IF(D9=4,0.15,IF(D9=5,0.3,0))+IF(E9=2,0.2,0)+IF(OR(C9=1,C9=7,C9=8,C9=9),0.15,0)</f>
        <v>0</v>
      </c>
      <c r="F4" s="211" t="s">
        <v>82</v>
      </c>
      <c r="G4" s="40">
        <f>IF(OR(E18=1,E18=3,),"","Neprovádí se !")</f>
      </c>
      <c r="H4" s="168">
        <f>E25*C3</f>
        <v>0</v>
      </c>
      <c r="I4" s="164" t="s">
        <v>2</v>
      </c>
      <c r="J4" s="157">
        <v>150</v>
      </c>
      <c r="K4" s="164" t="s">
        <v>143</v>
      </c>
      <c r="L4" s="157">
        <v>1</v>
      </c>
      <c r="M4" s="157">
        <v>2</v>
      </c>
      <c r="N4" s="155" t="s">
        <v>223</v>
      </c>
      <c r="O4" s="165">
        <v>12</v>
      </c>
      <c r="P4" s="154">
        <v>200</v>
      </c>
      <c r="Q4" s="159" t="s">
        <v>214</v>
      </c>
      <c r="R4" s="159">
        <v>140</v>
      </c>
      <c r="S4" s="166" t="s">
        <v>119</v>
      </c>
      <c r="T4" s="161">
        <v>200</v>
      </c>
      <c r="U4" s="157"/>
      <c r="V4" s="164" t="s">
        <v>12</v>
      </c>
      <c r="W4" s="155"/>
      <c r="X4" s="162"/>
      <c r="Y4" s="162"/>
      <c r="Z4" s="162"/>
      <c r="AA4" s="162"/>
      <c r="AB4" s="155"/>
      <c r="AC4" s="155"/>
      <c r="AD4" s="155"/>
      <c r="AE4" s="155"/>
      <c r="AF4" s="167">
        <v>45026</v>
      </c>
      <c r="AG4" s="155"/>
      <c r="AH4" s="163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</row>
    <row r="5" spans="1:59" ht="15" customHeight="1">
      <c r="A5" s="80"/>
      <c r="B5" s="35"/>
      <c r="C5" s="14">
        <f>IF(D5=10,10,D5-1)</f>
        <v>10</v>
      </c>
      <c r="D5" s="12">
        <v>11</v>
      </c>
      <c r="E5" s="81" t="s">
        <v>78</v>
      </c>
      <c r="F5" s="212"/>
      <c r="G5" s="42"/>
      <c r="H5" s="164" t="e">
        <f>IF(OR(A9=3,A9=4),H23,H22)</f>
        <v>#VALUE!</v>
      </c>
      <c r="I5" s="164" t="s">
        <v>106</v>
      </c>
      <c r="J5" s="157">
        <v>160</v>
      </c>
      <c r="K5" s="164" t="s">
        <v>144</v>
      </c>
      <c r="L5" s="157">
        <v>0.75</v>
      </c>
      <c r="M5" s="157">
        <v>1.5</v>
      </c>
      <c r="N5" s="155" t="s">
        <v>222</v>
      </c>
      <c r="O5" s="165">
        <v>12</v>
      </c>
      <c r="P5" s="154">
        <v>100</v>
      </c>
      <c r="Q5" s="169" t="s">
        <v>131</v>
      </c>
      <c r="R5" s="166">
        <v>0</v>
      </c>
      <c r="S5" s="166" t="s">
        <v>118</v>
      </c>
      <c r="T5" s="161">
        <v>200</v>
      </c>
      <c r="U5" s="157"/>
      <c r="V5" s="164" t="s">
        <v>10</v>
      </c>
      <c r="W5" s="155"/>
      <c r="X5" s="162"/>
      <c r="Y5" s="162"/>
      <c r="Z5" s="162"/>
      <c r="AA5" s="162"/>
      <c r="AB5" s="155"/>
      <c r="AC5" s="155"/>
      <c r="AD5" s="155"/>
      <c r="AE5" s="155"/>
      <c r="AF5" s="167">
        <v>45047</v>
      </c>
      <c r="AG5" s="155"/>
      <c r="AH5" s="163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</row>
    <row r="6" spans="1:59" ht="15" customHeight="1">
      <c r="A6" s="220" t="s">
        <v>39</v>
      </c>
      <c r="B6" s="221"/>
      <c r="C6" s="217" t="s">
        <v>41</v>
      </c>
      <c r="D6" s="194"/>
      <c r="E6" s="79">
        <f>IF(OR(A19=1,A19=2),E2,0)</f>
        <v>0</v>
      </c>
      <c r="F6" s="211" t="str">
        <f>IF(E22=1,"Vrtání CNC :",IF(E22=2,"Ruční vrtání","Bez vrtání :"))</f>
        <v>Bez vrtání :</v>
      </c>
      <c r="G6" s="41" t="str">
        <f>IF(E22&lt;3,"","Neprovádí se !")</f>
        <v>Neprovádí se !</v>
      </c>
      <c r="H6" s="155"/>
      <c r="I6" s="157" t="s">
        <v>150</v>
      </c>
      <c r="J6" s="157">
        <v>160</v>
      </c>
      <c r="K6" s="164" t="s">
        <v>145</v>
      </c>
      <c r="L6" s="157">
        <v>0.5</v>
      </c>
      <c r="M6" s="157">
        <v>1</v>
      </c>
      <c r="N6" s="164" t="s">
        <v>221</v>
      </c>
      <c r="O6" s="165">
        <v>12</v>
      </c>
      <c r="P6" s="154">
        <v>250</v>
      </c>
      <c r="Q6" s="160"/>
      <c r="R6" s="160"/>
      <c r="S6" s="166" t="s">
        <v>115</v>
      </c>
      <c r="T6" s="161">
        <v>200</v>
      </c>
      <c r="U6" s="157"/>
      <c r="V6" s="164" t="s">
        <v>59</v>
      </c>
      <c r="W6" s="155"/>
      <c r="X6" s="162"/>
      <c r="Y6" s="162"/>
      <c r="Z6" s="162"/>
      <c r="AA6" s="162"/>
      <c r="AB6" s="155"/>
      <c r="AC6" s="155"/>
      <c r="AD6" s="155"/>
      <c r="AE6" s="155"/>
      <c r="AF6" s="167">
        <v>45054</v>
      </c>
      <c r="AG6" s="155"/>
      <c r="AH6" s="163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</row>
    <row r="7" spans="1:59" ht="15" customHeight="1">
      <c r="A7" s="218"/>
      <c r="B7" s="219"/>
      <c r="C7" s="16">
        <f>IF(WEEKDAY(A3)=7,A3+2,IF(WEEKDAY(A3)=1,A3+1,A3))</f>
        <v>2</v>
      </c>
      <c r="D7" s="15">
        <v>5</v>
      </c>
      <c r="E7" s="81" t="s">
        <v>79</v>
      </c>
      <c r="F7" s="212"/>
      <c r="G7" s="42"/>
      <c r="H7" s="153">
        <f>MAX(B15,1)*C17*H20</f>
        <v>0</v>
      </c>
      <c r="I7" s="164"/>
      <c r="J7" s="157" t="s">
        <v>164</v>
      </c>
      <c r="K7" s="164" t="s">
        <v>146</v>
      </c>
      <c r="L7" s="157">
        <v>0.25</v>
      </c>
      <c r="M7" s="157">
        <v>0.75</v>
      </c>
      <c r="N7" s="164" t="s">
        <v>220</v>
      </c>
      <c r="O7" s="165">
        <v>24</v>
      </c>
      <c r="P7" s="154">
        <v>400</v>
      </c>
      <c r="Q7" s="166" t="s">
        <v>209</v>
      </c>
      <c r="R7" s="159">
        <v>150</v>
      </c>
      <c r="S7" s="166" t="s">
        <v>134</v>
      </c>
      <c r="T7" s="161">
        <v>300</v>
      </c>
      <c r="U7" s="157"/>
      <c r="V7" s="164" t="s">
        <v>60</v>
      </c>
      <c r="W7" s="155"/>
      <c r="X7" s="162"/>
      <c r="Y7" s="162"/>
      <c r="Z7" s="162"/>
      <c r="AA7" s="162"/>
      <c r="AB7" s="155"/>
      <c r="AC7" s="155"/>
      <c r="AD7" s="155"/>
      <c r="AE7" s="155"/>
      <c r="AF7" s="167">
        <v>45112</v>
      </c>
      <c r="AG7" s="155"/>
      <c r="AH7" s="163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</row>
    <row r="8" spans="1:59" ht="15" customHeight="1">
      <c r="A8" s="129" t="s">
        <v>84</v>
      </c>
      <c r="B8" s="130" t="s">
        <v>76</v>
      </c>
      <c r="C8" s="130" t="s">
        <v>75</v>
      </c>
      <c r="D8" s="130" t="s">
        <v>85</v>
      </c>
      <c r="E8" s="82">
        <f>IF(OR(A20=1,A20=2),E2,0)</f>
        <v>0</v>
      </c>
      <c r="F8" s="211" t="s">
        <v>29</v>
      </c>
      <c r="G8" s="40"/>
      <c r="H8" s="153">
        <f>IF(A9=3,100,0)</f>
        <v>0</v>
      </c>
      <c r="I8" s="164" t="s">
        <v>63</v>
      </c>
      <c r="J8" s="165">
        <v>0</v>
      </c>
      <c r="K8" s="164" t="s">
        <v>147</v>
      </c>
      <c r="L8" s="157">
        <v>0.15</v>
      </c>
      <c r="M8" s="157">
        <v>0.5</v>
      </c>
      <c r="N8" s="155" t="s">
        <v>124</v>
      </c>
      <c r="O8" s="165">
        <v>0</v>
      </c>
      <c r="P8" s="154">
        <v>0</v>
      </c>
      <c r="Q8" s="166" t="s">
        <v>215</v>
      </c>
      <c r="R8" s="159">
        <v>100</v>
      </c>
      <c r="S8" s="166" t="s">
        <v>126</v>
      </c>
      <c r="T8" s="161">
        <v>200</v>
      </c>
      <c r="U8" s="157"/>
      <c r="V8" s="170" t="s">
        <v>224</v>
      </c>
      <c r="W8" s="155"/>
      <c r="X8" s="162"/>
      <c r="Y8" s="162"/>
      <c r="Z8" s="162"/>
      <c r="AA8" s="162"/>
      <c r="AB8" s="155"/>
      <c r="AC8" s="155"/>
      <c r="AD8" s="155"/>
      <c r="AE8" s="155"/>
      <c r="AF8" s="167">
        <v>45113</v>
      </c>
      <c r="AG8" s="155"/>
      <c r="AH8" s="163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</row>
    <row r="9" spans="1:59" ht="15" customHeight="1">
      <c r="A9" s="83">
        <v>6</v>
      </c>
      <c r="B9" s="23">
        <v>12</v>
      </c>
      <c r="C9" s="23">
        <v>11</v>
      </c>
      <c r="D9" s="23">
        <v>6</v>
      </c>
      <c r="E9" s="84">
        <v>3</v>
      </c>
      <c r="F9" s="212"/>
      <c r="G9" s="42"/>
      <c r="H9" s="153">
        <f>MAX(INDEX(O2:O9,A17)*H29,INDEX(P2:P9,A17))*(1-E2)</f>
        <v>0</v>
      </c>
      <c r="I9" s="164" t="s">
        <v>180</v>
      </c>
      <c r="J9" s="165">
        <v>0</v>
      </c>
      <c r="K9" s="164" t="s">
        <v>148</v>
      </c>
      <c r="L9" s="157">
        <v>0.08</v>
      </c>
      <c r="M9" s="157">
        <v>0.25</v>
      </c>
      <c r="N9" s="164"/>
      <c r="O9" s="165">
        <v>0</v>
      </c>
      <c r="P9" s="154">
        <v>0</v>
      </c>
      <c r="Q9" s="166" t="s">
        <v>216</v>
      </c>
      <c r="R9" s="159">
        <v>250</v>
      </c>
      <c r="S9" s="166" t="s">
        <v>197</v>
      </c>
      <c r="T9" s="161">
        <v>400</v>
      </c>
      <c r="U9" s="157"/>
      <c r="V9" s="162" t="s">
        <v>225</v>
      </c>
      <c r="W9" s="155"/>
      <c r="X9" s="162"/>
      <c r="Y9" s="162"/>
      <c r="Z9" s="162"/>
      <c r="AA9" s="162"/>
      <c r="AB9" s="155"/>
      <c r="AC9" s="155"/>
      <c r="AD9" s="155"/>
      <c r="AE9" s="155"/>
      <c r="AF9" s="171">
        <v>45197</v>
      </c>
      <c r="AG9" s="155"/>
      <c r="AH9" s="163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</row>
    <row r="10" spans="1:59" ht="15" customHeight="1">
      <c r="A10" s="188" t="s">
        <v>186</v>
      </c>
      <c r="B10" s="189"/>
      <c r="C10" s="222" t="s">
        <v>185</v>
      </c>
      <c r="D10" s="224" t="s">
        <v>187</v>
      </c>
      <c r="E10" s="225"/>
      <c r="F10" s="211" t="str">
        <f>IF(A19&lt;3,"Osvit masky :","Bez masky :")</f>
        <v>Bez masky :</v>
      </c>
      <c r="G10" s="40" t="str">
        <f>IF(A19&lt;3,"","Neprovádí se !")</f>
        <v>Neprovádí se !</v>
      </c>
      <c r="H10" s="153">
        <f>IF(E22=1,50,0)</f>
        <v>0</v>
      </c>
      <c r="I10" s="164" t="s">
        <v>48</v>
      </c>
      <c r="J10" s="172">
        <v>10</v>
      </c>
      <c r="K10" s="164" t="s">
        <v>149</v>
      </c>
      <c r="L10" s="157">
        <v>0</v>
      </c>
      <c r="M10" s="157">
        <v>0.15</v>
      </c>
      <c r="N10" s="157"/>
      <c r="O10" s="155"/>
      <c r="P10" s="155"/>
      <c r="Q10" s="166" t="s">
        <v>211</v>
      </c>
      <c r="R10" s="159">
        <v>250</v>
      </c>
      <c r="S10" s="166" t="s">
        <v>120</v>
      </c>
      <c r="T10" s="161">
        <v>300</v>
      </c>
      <c r="U10" s="157"/>
      <c r="V10" s="164" t="s">
        <v>15</v>
      </c>
      <c r="W10" s="155"/>
      <c r="X10" s="162"/>
      <c r="Y10" s="162"/>
      <c r="Z10" s="162"/>
      <c r="AA10" s="162"/>
      <c r="AB10" s="155"/>
      <c r="AC10" s="155"/>
      <c r="AD10" s="155"/>
      <c r="AE10" s="155"/>
      <c r="AF10" s="171">
        <v>45247</v>
      </c>
      <c r="AG10" s="155"/>
      <c r="AH10" s="163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</row>
    <row r="11" spans="1:59" ht="15" customHeight="1">
      <c r="A11" s="85" t="s">
        <v>33</v>
      </c>
      <c r="B11" s="21" t="s">
        <v>34</v>
      </c>
      <c r="C11" s="223"/>
      <c r="D11" s="21" t="s">
        <v>33</v>
      </c>
      <c r="E11" s="86" t="s">
        <v>34</v>
      </c>
      <c r="F11" s="212"/>
      <c r="G11" s="42"/>
      <c r="H11" s="168">
        <f>D25*C3</f>
        <v>0</v>
      </c>
      <c r="I11" s="164"/>
      <c r="J11" s="172">
        <v>0</v>
      </c>
      <c r="K11" s="164" t="s">
        <v>152</v>
      </c>
      <c r="L11" s="157">
        <v>0</v>
      </c>
      <c r="M11" s="157">
        <v>0</v>
      </c>
      <c r="N11" s="157"/>
      <c r="O11" s="155"/>
      <c r="P11" s="155"/>
      <c r="Q11" s="159" t="s">
        <v>217</v>
      </c>
      <c r="R11" s="159">
        <v>140</v>
      </c>
      <c r="S11" s="166" t="s">
        <v>135</v>
      </c>
      <c r="T11" s="161">
        <v>400</v>
      </c>
      <c r="U11" s="157"/>
      <c r="V11" s="164" t="s">
        <v>206</v>
      </c>
      <c r="W11" s="155"/>
      <c r="X11" s="162"/>
      <c r="Y11" s="162"/>
      <c r="Z11" s="162"/>
      <c r="AA11" s="162"/>
      <c r="AB11" s="155"/>
      <c r="AC11" s="155"/>
      <c r="AD11" s="155"/>
      <c r="AE11" s="155"/>
      <c r="AF11" s="167">
        <v>45285</v>
      </c>
      <c r="AG11" s="155"/>
      <c r="AH11" s="163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</row>
    <row r="12" spans="1:59" ht="15" customHeight="1">
      <c r="A12" s="87"/>
      <c r="B12" s="22"/>
      <c r="C12" s="25"/>
      <c r="D12" s="27">
        <f>A12*C12</f>
        <v>0</v>
      </c>
      <c r="E12" s="88">
        <f>(B12*C12)+IF(OR(B22=4,B22=6),600,0)</f>
        <v>0</v>
      </c>
      <c r="F12" s="211" t="str">
        <f>IF(A20&lt;3,"Osvit potisku :","Bez potisku :")</f>
        <v>Bez potisku :</v>
      </c>
      <c r="G12" s="40" t="str">
        <f>IF(A20&lt;3,"","Neprovádí se !")</f>
        <v>Neprovádí se !</v>
      </c>
      <c r="H12" s="168">
        <f>D26*C3</f>
        <v>0</v>
      </c>
      <c r="I12" s="164" t="s">
        <v>104</v>
      </c>
      <c r="J12" s="154"/>
      <c r="K12" s="155"/>
      <c r="L12" s="157">
        <v>0</v>
      </c>
      <c r="M12" s="157">
        <v>0</v>
      </c>
      <c r="N12" s="157"/>
      <c r="O12" s="155"/>
      <c r="P12" s="155"/>
      <c r="Q12" s="160" t="s">
        <v>218</v>
      </c>
      <c r="R12" s="166">
        <v>350</v>
      </c>
      <c r="S12" s="166" t="s">
        <v>121</v>
      </c>
      <c r="T12" s="161">
        <v>300</v>
      </c>
      <c r="U12" s="157"/>
      <c r="V12" s="164" t="s">
        <v>88</v>
      </c>
      <c r="W12" s="155"/>
      <c r="X12" s="162"/>
      <c r="Y12" s="162"/>
      <c r="Z12" s="162"/>
      <c r="AA12" s="162"/>
      <c r="AB12" s="155"/>
      <c r="AC12" s="155"/>
      <c r="AD12" s="155"/>
      <c r="AE12" s="155"/>
      <c r="AF12" s="167">
        <v>45286</v>
      </c>
      <c r="AG12" s="155"/>
      <c r="AH12" s="163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</row>
    <row r="13" spans="1:59" ht="15" customHeight="1">
      <c r="A13" s="89"/>
      <c r="B13" s="22"/>
      <c r="C13" s="25"/>
      <c r="D13" s="28">
        <f>A13*C13</f>
        <v>0</v>
      </c>
      <c r="E13" s="90">
        <f>(B13*C13)+IF(OR(B22=4,B22=6),600,0)</f>
        <v>0</v>
      </c>
      <c r="F13" s="212"/>
      <c r="G13" s="42"/>
      <c r="H13" s="168">
        <f>IF(A19&lt;3,A19,0)</f>
        <v>0</v>
      </c>
      <c r="I13" s="164" t="s">
        <v>109</v>
      </c>
      <c r="J13" s="154"/>
      <c r="K13" s="154"/>
      <c r="L13" s="157"/>
      <c r="M13" s="157"/>
      <c r="N13" s="157"/>
      <c r="O13" s="155"/>
      <c r="P13" s="155"/>
      <c r="Q13" s="166"/>
      <c r="R13" s="166"/>
      <c r="S13" s="166" t="s">
        <v>125</v>
      </c>
      <c r="T13" s="161">
        <v>300</v>
      </c>
      <c r="U13" s="157"/>
      <c r="V13" s="162"/>
      <c r="W13" s="155"/>
      <c r="X13" s="162"/>
      <c r="Y13" s="162"/>
      <c r="Z13" s="162"/>
      <c r="AA13" s="162"/>
      <c r="AB13" s="155"/>
      <c r="AC13" s="155"/>
      <c r="AD13" s="155"/>
      <c r="AE13" s="155"/>
      <c r="AF13" s="167">
        <v>45292</v>
      </c>
      <c r="AG13" s="155"/>
      <c r="AH13" s="163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</row>
    <row r="14" spans="1:59" ht="15" customHeight="1">
      <c r="A14" s="91" t="s">
        <v>90</v>
      </c>
      <c r="B14" s="31" t="s">
        <v>91</v>
      </c>
      <c r="C14" s="32" t="s">
        <v>7</v>
      </c>
      <c r="D14" s="29">
        <f>MAX(D12+34,100)</f>
        <v>100</v>
      </c>
      <c r="E14" s="29">
        <f>MAX(D12+30,100)</f>
        <v>100</v>
      </c>
      <c r="F14" s="211" t="str">
        <f>IF(A9=3,"Prokovení :","Bez prokovení :")</f>
        <v>Bez prokovení :</v>
      </c>
      <c r="G14" s="40" t="str">
        <f>IF(A9=3,"","Neprovádí se !")</f>
        <v>Neprovádí se !</v>
      </c>
      <c r="H14" s="168">
        <f>IF(A20&lt;3,A20,0)</f>
        <v>0</v>
      </c>
      <c r="I14" s="157"/>
      <c r="J14" s="154" t="s">
        <v>227</v>
      </c>
      <c r="K14" s="154"/>
      <c r="L14" s="155"/>
      <c r="M14" s="157"/>
      <c r="N14" s="155"/>
      <c r="O14" s="157"/>
      <c r="P14" s="157"/>
      <c r="Q14" s="173"/>
      <c r="R14" s="173"/>
      <c r="S14" s="166" t="s">
        <v>136</v>
      </c>
      <c r="T14" s="161">
        <v>400</v>
      </c>
      <c r="U14" s="157"/>
      <c r="V14" s="162"/>
      <c r="W14" s="155"/>
      <c r="X14" s="162"/>
      <c r="Y14" s="162"/>
      <c r="Z14" s="162"/>
      <c r="AA14" s="162"/>
      <c r="AB14" s="155"/>
      <c r="AC14" s="155"/>
      <c r="AD14" s="155"/>
      <c r="AE14" s="155"/>
      <c r="AF14" s="167">
        <v>45380</v>
      </c>
      <c r="AG14" s="155"/>
      <c r="AH14" s="163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</row>
    <row r="15" spans="1:59" ht="15" customHeight="1">
      <c r="A15" s="92">
        <f>C12*C13</f>
        <v>0</v>
      </c>
      <c r="B15" s="17">
        <f>D12*D13/10000</f>
        <v>0</v>
      </c>
      <c r="C15" s="26">
        <f>IF((C12*C13)&lt;&gt;0,C3/(C12*C13),0)</f>
        <v>0</v>
      </c>
      <c r="D15" s="30">
        <f>MAX(D13+44,100)</f>
        <v>100</v>
      </c>
      <c r="E15" s="30">
        <f>MAX(D13+40,100)</f>
        <v>100</v>
      </c>
      <c r="F15" s="212"/>
      <c r="G15" s="42"/>
      <c r="H15" s="164"/>
      <c r="I15" s="164" t="s">
        <v>3</v>
      </c>
      <c r="J15" s="164" t="s">
        <v>16</v>
      </c>
      <c r="K15" s="164" t="s">
        <v>165</v>
      </c>
      <c r="L15" s="155"/>
      <c r="M15" s="157"/>
      <c r="N15" s="155"/>
      <c r="O15" s="157"/>
      <c r="P15" s="157"/>
      <c r="Q15" s="166"/>
      <c r="R15" s="161"/>
      <c r="S15" s="166" t="s">
        <v>132</v>
      </c>
      <c r="T15" s="161">
        <v>0</v>
      </c>
      <c r="U15" s="157"/>
      <c r="V15" s="162"/>
      <c r="W15" s="162"/>
      <c r="X15" s="162"/>
      <c r="Y15" s="162"/>
      <c r="Z15" s="162"/>
      <c r="AA15" s="162"/>
      <c r="AB15" s="155"/>
      <c r="AC15" s="155"/>
      <c r="AD15" s="155"/>
      <c r="AE15" s="155"/>
      <c r="AF15" s="167">
        <v>45383</v>
      </c>
      <c r="AG15" s="155"/>
      <c r="AH15" s="163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</row>
    <row r="16" spans="1:59" ht="15" customHeight="1">
      <c r="A16" s="193" t="s">
        <v>6</v>
      </c>
      <c r="B16" s="194"/>
      <c r="C16" s="24" t="s">
        <v>38</v>
      </c>
      <c r="D16" s="194" t="s">
        <v>82</v>
      </c>
      <c r="E16" s="226">
        <v>1</v>
      </c>
      <c r="F16" s="211" t="s">
        <v>105</v>
      </c>
      <c r="G16" s="40"/>
      <c r="H16" s="153">
        <f>(IF(OR(B22=2,B22=4,B22=5,B22=6),2*C3,0)+IF(OR(B22=3,B22=5,B22=6),C15*A25*INDEX(V20:V27,A22),0))*(1-E2)</f>
        <v>0</v>
      </c>
      <c r="I16" s="164" t="s">
        <v>4</v>
      </c>
      <c r="J16" s="164" t="s">
        <v>19</v>
      </c>
      <c r="K16" s="164" t="s">
        <v>166</v>
      </c>
      <c r="L16" s="155"/>
      <c r="M16" s="157"/>
      <c r="N16" s="155"/>
      <c r="O16" s="157"/>
      <c r="P16" s="157"/>
      <c r="Q16" s="166"/>
      <c r="R16" s="159"/>
      <c r="S16" s="160"/>
      <c r="T16" s="174">
        <v>0</v>
      </c>
      <c r="U16" s="157"/>
      <c r="V16" s="162"/>
      <c r="W16" s="162"/>
      <c r="X16" s="162"/>
      <c r="Y16" s="162"/>
      <c r="Z16" s="162"/>
      <c r="AA16" s="162"/>
      <c r="AB16" s="155"/>
      <c r="AC16" s="155"/>
      <c r="AD16" s="155"/>
      <c r="AE16" s="155"/>
      <c r="AF16" s="167">
        <v>45413</v>
      </c>
      <c r="AG16" s="155"/>
      <c r="AH16" s="163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</row>
    <row r="17" spans="1:59" ht="15" customHeight="1">
      <c r="A17" s="197">
        <v>8</v>
      </c>
      <c r="B17" s="198"/>
      <c r="C17" s="18">
        <f>IF(A9=6,0,IF(OR(A9=1,A9=4,A9=5),1,2))+H13+H14</f>
        <v>0</v>
      </c>
      <c r="D17" s="13"/>
      <c r="E17" s="93">
        <v>15</v>
      </c>
      <c r="F17" s="212"/>
      <c r="G17" s="43"/>
      <c r="H17" s="153">
        <f>(H24+H27)*(1-E2)</f>
        <v>0</v>
      </c>
      <c r="I17" s="164" t="s">
        <v>5</v>
      </c>
      <c r="J17" s="164" t="s">
        <v>111</v>
      </c>
      <c r="K17" s="164" t="s">
        <v>167</v>
      </c>
      <c r="L17" s="155"/>
      <c r="M17" s="157"/>
      <c r="N17" s="155"/>
      <c r="O17" s="157"/>
      <c r="P17" s="157"/>
      <c r="Q17" s="160"/>
      <c r="R17" s="159"/>
      <c r="S17" s="160"/>
      <c r="T17" s="160"/>
      <c r="U17" s="157"/>
      <c r="V17" s="162"/>
      <c r="W17" s="162"/>
      <c r="X17" s="162"/>
      <c r="Y17" s="162"/>
      <c r="Z17" s="162"/>
      <c r="AA17" s="162"/>
      <c r="AB17" s="155"/>
      <c r="AC17" s="155"/>
      <c r="AD17" s="155"/>
      <c r="AE17" s="155"/>
      <c r="AF17" s="167">
        <v>45420</v>
      </c>
      <c r="AG17" s="155"/>
      <c r="AH17" s="163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</row>
    <row r="18" spans="1:59" ht="15" customHeight="1">
      <c r="A18" s="197">
        <v>1</v>
      </c>
      <c r="B18" s="198"/>
      <c r="C18" s="19" t="s">
        <v>92</v>
      </c>
      <c r="D18" s="13"/>
      <c r="E18" s="94">
        <v>3</v>
      </c>
      <c r="F18" s="227" t="s">
        <v>117</v>
      </c>
      <c r="G18" s="40">
        <f>B3</f>
        <v>0</v>
      </c>
      <c r="H18" s="153">
        <f>A26+B26</f>
        <v>0</v>
      </c>
      <c r="I18" s="164" t="s">
        <v>8</v>
      </c>
      <c r="J18" s="154" t="s">
        <v>89</v>
      </c>
      <c r="K18" s="154" t="s">
        <v>168</v>
      </c>
      <c r="L18" s="155"/>
      <c r="M18" s="157"/>
      <c r="N18" s="155"/>
      <c r="O18" s="157"/>
      <c r="P18" s="157"/>
      <c r="Q18" s="166"/>
      <c r="R18" s="159"/>
      <c r="S18" s="160"/>
      <c r="T18" s="160"/>
      <c r="U18" s="157"/>
      <c r="V18" s="162"/>
      <c r="W18" s="162"/>
      <c r="X18" s="162"/>
      <c r="Y18" s="162"/>
      <c r="Z18" s="162"/>
      <c r="AA18" s="162"/>
      <c r="AB18" s="155"/>
      <c r="AC18" s="155"/>
      <c r="AD18" s="155"/>
      <c r="AE18" s="155"/>
      <c r="AF18" s="171">
        <v>45478</v>
      </c>
      <c r="AG18" s="155"/>
      <c r="AH18" s="163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</row>
    <row r="19" spans="1:59" ht="15" customHeight="1">
      <c r="A19" s="124">
        <v>4</v>
      </c>
      <c r="B19" s="131">
        <v>7</v>
      </c>
      <c r="C19" s="20">
        <f>B15*C17</f>
        <v>0</v>
      </c>
      <c r="D19" s="203"/>
      <c r="E19" s="204"/>
      <c r="F19" s="228"/>
      <c r="G19" s="44"/>
      <c r="H19" s="153">
        <f>INDEX($T$2:$T$16,$E$17)</f>
        <v>0</v>
      </c>
      <c r="I19" s="164" t="s">
        <v>9</v>
      </c>
      <c r="J19" s="155"/>
      <c r="K19" s="154"/>
      <c r="L19" s="155"/>
      <c r="M19" s="157"/>
      <c r="N19" s="155"/>
      <c r="O19" s="157"/>
      <c r="P19" s="157"/>
      <c r="Q19" s="166"/>
      <c r="R19" s="159"/>
      <c r="S19" s="166"/>
      <c r="T19" s="159"/>
      <c r="U19" s="157"/>
      <c r="V19" s="162"/>
      <c r="W19" s="162"/>
      <c r="X19" s="162"/>
      <c r="Y19" s="162"/>
      <c r="Z19" s="162"/>
      <c r="AA19" s="162"/>
      <c r="AB19" s="155"/>
      <c r="AC19" s="155"/>
      <c r="AD19" s="155"/>
      <c r="AE19" s="155"/>
      <c r="AF19" s="171">
        <v>45593</v>
      </c>
      <c r="AG19" s="155"/>
      <c r="AH19" s="163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</row>
    <row r="20" spans="1:59" ht="15" customHeight="1">
      <c r="A20" s="124">
        <v>4</v>
      </c>
      <c r="B20" s="131">
        <v>7</v>
      </c>
      <c r="C20" s="52">
        <f>G42*250</f>
        <v>0</v>
      </c>
      <c r="D20" s="207">
        <v>3</v>
      </c>
      <c r="E20" s="208"/>
      <c r="F20" s="272" t="s">
        <v>101</v>
      </c>
      <c r="G20" s="273"/>
      <c r="H20" s="168">
        <f>INDEX(P20:P22,E18)</f>
        <v>0</v>
      </c>
      <c r="I20" s="164" t="s">
        <v>11</v>
      </c>
      <c r="J20" s="164" t="s">
        <v>21</v>
      </c>
      <c r="K20" s="164"/>
      <c r="L20" s="155"/>
      <c r="M20" s="155"/>
      <c r="N20" s="155"/>
      <c r="O20" s="164" t="s">
        <v>219</v>
      </c>
      <c r="P20" s="157">
        <v>30</v>
      </c>
      <c r="Q20" s="160"/>
      <c r="R20" s="160"/>
      <c r="S20" s="166" t="s">
        <v>45</v>
      </c>
      <c r="T20" s="159"/>
      <c r="U20" s="175">
        <v>0.8</v>
      </c>
      <c r="V20" s="162">
        <v>9</v>
      </c>
      <c r="W20" s="162"/>
      <c r="X20" s="162"/>
      <c r="Y20" s="162"/>
      <c r="Z20" s="162"/>
      <c r="AA20" s="162"/>
      <c r="AB20" s="155"/>
      <c r="AC20" s="155"/>
      <c r="AD20" s="155"/>
      <c r="AE20" s="155"/>
      <c r="AF20" s="155"/>
      <c r="AG20" s="155"/>
      <c r="AH20" s="163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</row>
    <row r="21" spans="1:59" ht="15" customHeight="1">
      <c r="A21" s="195" t="s">
        <v>163</v>
      </c>
      <c r="B21" s="196"/>
      <c r="C21" s="126" t="s">
        <v>14</v>
      </c>
      <c r="D21" s="136" t="s">
        <v>192</v>
      </c>
      <c r="E21" s="137">
        <v>23.725</v>
      </c>
      <c r="F21" s="274" t="s">
        <v>102</v>
      </c>
      <c r="G21" s="275"/>
      <c r="H21" s="176" t="e">
        <f>C47</f>
        <v>#VALUE!</v>
      </c>
      <c r="I21" s="164" t="s">
        <v>13</v>
      </c>
      <c r="J21" s="164" t="s">
        <v>108</v>
      </c>
      <c r="K21" s="154"/>
      <c r="L21" s="155"/>
      <c r="M21" s="155"/>
      <c r="N21" s="155"/>
      <c r="O21" s="164" t="s">
        <v>113</v>
      </c>
      <c r="P21" s="157">
        <v>0</v>
      </c>
      <c r="Q21" s="160"/>
      <c r="R21" s="160"/>
      <c r="S21" s="166" t="s">
        <v>138</v>
      </c>
      <c r="T21" s="160"/>
      <c r="U21" s="175" t="s">
        <v>139</v>
      </c>
      <c r="V21" s="162">
        <v>9</v>
      </c>
      <c r="W21" s="162"/>
      <c r="X21" s="162"/>
      <c r="Y21" s="162"/>
      <c r="Z21" s="162"/>
      <c r="AA21" s="162"/>
      <c r="AB21" s="155"/>
      <c r="AC21" s="155"/>
      <c r="AD21" s="155"/>
      <c r="AE21" s="155"/>
      <c r="AF21" s="155"/>
      <c r="AG21" s="155"/>
      <c r="AH21" s="163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</row>
    <row r="22" spans="1:59" ht="7.5" customHeight="1">
      <c r="A22" s="192">
        <v>8</v>
      </c>
      <c r="B22" s="199">
        <v>8</v>
      </c>
      <c r="C22" s="233" t="s">
        <v>122</v>
      </c>
      <c r="D22" s="206">
        <f>E25*C3</f>
        <v>0</v>
      </c>
      <c r="E22" s="205">
        <v>4</v>
      </c>
      <c r="F22" s="276" t="s">
        <v>200</v>
      </c>
      <c r="G22" s="278"/>
      <c r="H22" s="177" t="e">
        <f>$H$21*IF($D$5&lt;11,INDEX(L2:L12,$D$5),0)</f>
        <v>#VALUE!</v>
      </c>
      <c r="I22" s="164" t="s">
        <v>194</v>
      </c>
      <c r="J22" s="168" t="s">
        <v>107</v>
      </c>
      <c r="K22" s="154"/>
      <c r="L22" s="155"/>
      <c r="M22" s="155"/>
      <c r="N22" s="155"/>
      <c r="O22" s="155"/>
      <c r="P22" s="157">
        <v>0</v>
      </c>
      <c r="Q22" s="160"/>
      <c r="R22" s="160"/>
      <c r="S22" s="166" t="s">
        <v>46</v>
      </c>
      <c r="T22" s="159"/>
      <c r="U22" s="175">
        <v>1.2</v>
      </c>
      <c r="V22" s="162">
        <v>9</v>
      </c>
      <c r="W22" s="162"/>
      <c r="X22" s="162"/>
      <c r="Y22" s="162"/>
      <c r="Z22" s="162"/>
      <c r="AA22" s="162"/>
      <c r="AB22" s="155"/>
      <c r="AC22" s="155"/>
      <c r="AD22" s="155"/>
      <c r="AE22" s="155"/>
      <c r="AF22" s="155"/>
      <c r="AG22" s="155"/>
      <c r="AH22" s="163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</row>
    <row r="23" spans="1:59" ht="7.5" customHeight="1">
      <c r="A23" s="192"/>
      <c r="B23" s="200"/>
      <c r="C23" s="233"/>
      <c r="D23" s="206"/>
      <c r="E23" s="205"/>
      <c r="F23" s="277"/>
      <c r="G23" s="279"/>
      <c r="H23" s="177" t="e">
        <f>$H$21*IF($D$5&lt;11,INDEX(M2:M12,$D$5),0)</f>
        <v>#VALUE!</v>
      </c>
      <c r="I23" s="164" t="s">
        <v>195</v>
      </c>
      <c r="J23" s="154"/>
      <c r="K23" s="154"/>
      <c r="L23" s="155"/>
      <c r="M23" s="155"/>
      <c r="N23" s="155"/>
      <c r="O23" s="157"/>
      <c r="P23" s="157"/>
      <c r="Q23" s="160"/>
      <c r="R23" s="160"/>
      <c r="S23" s="166" t="s">
        <v>57</v>
      </c>
      <c r="T23" s="159"/>
      <c r="U23" s="175">
        <v>1.6</v>
      </c>
      <c r="V23" s="162">
        <v>9</v>
      </c>
      <c r="W23" s="162"/>
      <c r="X23" s="162"/>
      <c r="Y23" s="162"/>
      <c r="Z23" s="162"/>
      <c r="AA23" s="162"/>
      <c r="AB23" s="155"/>
      <c r="AC23" s="155"/>
      <c r="AD23" s="155"/>
      <c r="AE23" s="155"/>
      <c r="AF23" s="155"/>
      <c r="AG23" s="155"/>
      <c r="AH23" s="163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</row>
    <row r="24" spans="1:59" ht="15" customHeight="1">
      <c r="A24" s="95" t="s">
        <v>17</v>
      </c>
      <c r="B24" s="4" t="s">
        <v>18</v>
      </c>
      <c r="C24" s="236" t="s">
        <v>198</v>
      </c>
      <c r="D24" s="237"/>
      <c r="E24" s="96" t="s">
        <v>114</v>
      </c>
      <c r="F24" s="116" t="s">
        <v>127</v>
      </c>
      <c r="G24" s="117">
        <v>0</v>
      </c>
      <c r="H24" s="153">
        <f>(0.06*D22)*IF(E22&lt;3,E22,0)</f>
        <v>0</v>
      </c>
      <c r="I24" s="164" t="s">
        <v>88</v>
      </c>
      <c r="J24" s="168" t="s">
        <v>175</v>
      </c>
      <c r="K24" s="164"/>
      <c r="L24" s="155"/>
      <c r="M24" s="155"/>
      <c r="N24" s="155"/>
      <c r="O24" s="157"/>
      <c r="P24" s="157"/>
      <c r="Q24" s="160"/>
      <c r="R24" s="160"/>
      <c r="S24" s="166" t="s">
        <v>43</v>
      </c>
      <c r="T24" s="159"/>
      <c r="U24" s="175" t="s">
        <v>140</v>
      </c>
      <c r="V24" s="162">
        <v>9</v>
      </c>
      <c r="W24" s="162"/>
      <c r="X24" s="162"/>
      <c r="Y24" s="162"/>
      <c r="Z24" s="162"/>
      <c r="AA24" s="162"/>
      <c r="AB24" s="155"/>
      <c r="AC24" s="155"/>
      <c r="AD24" s="155"/>
      <c r="AE24" s="155"/>
      <c r="AF24" s="155"/>
      <c r="AG24" s="155"/>
      <c r="AH24" s="163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</row>
    <row r="25" spans="1:59" ht="15" customHeight="1" thickBot="1">
      <c r="A25" s="97">
        <v>0</v>
      </c>
      <c r="B25" s="144"/>
      <c r="C25" s="238"/>
      <c r="D25" s="239"/>
      <c r="E25" s="231"/>
      <c r="F25" s="118" t="s">
        <v>128</v>
      </c>
      <c r="G25" s="119">
        <v>0</v>
      </c>
      <c r="H25" s="153"/>
      <c r="I25" s="162"/>
      <c r="J25" s="168" t="s">
        <v>176</v>
      </c>
      <c r="K25" s="168"/>
      <c r="L25" s="155"/>
      <c r="M25" s="155"/>
      <c r="N25" s="155"/>
      <c r="O25" s="157"/>
      <c r="P25" s="157"/>
      <c r="Q25" s="160"/>
      <c r="R25" s="160"/>
      <c r="S25" s="166" t="s">
        <v>44</v>
      </c>
      <c r="T25" s="159"/>
      <c r="U25" s="175">
        <v>2.4</v>
      </c>
      <c r="V25" s="162">
        <v>9</v>
      </c>
      <c r="W25" s="162"/>
      <c r="X25" s="162"/>
      <c r="Y25" s="162"/>
      <c r="Z25" s="162"/>
      <c r="AA25" s="162"/>
      <c r="AB25" s="155"/>
      <c r="AC25" s="155"/>
      <c r="AD25" s="155"/>
      <c r="AE25" s="155"/>
      <c r="AF25" s="155"/>
      <c r="AG25" s="155"/>
      <c r="AH25" s="163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</row>
    <row r="26" spans="1:59" ht="15" customHeight="1" thickTop="1">
      <c r="A26" s="98">
        <f>IF(OR(B22=3,B22=5,B22=6),IF(E17=1,50,150),0)</f>
        <v>0</v>
      </c>
      <c r="B26" s="5">
        <f>IF(OR(B22=4,B22=6),50,0)</f>
        <v>0</v>
      </c>
      <c r="C26" s="240"/>
      <c r="D26" s="241"/>
      <c r="E26" s="232"/>
      <c r="F26" s="268" t="s">
        <v>73</v>
      </c>
      <c r="G26" s="269"/>
      <c r="H26" s="153"/>
      <c r="I26" s="162"/>
      <c r="J26" s="168" t="s">
        <v>22</v>
      </c>
      <c r="K26" s="154"/>
      <c r="L26" s="155"/>
      <c r="M26" s="155"/>
      <c r="N26" s="155"/>
      <c r="O26" s="267" t="s">
        <v>174</v>
      </c>
      <c r="P26" s="267"/>
      <c r="Q26" s="160"/>
      <c r="R26" s="160"/>
      <c r="S26" s="166" t="s">
        <v>137</v>
      </c>
      <c r="T26" s="159"/>
      <c r="U26" s="175">
        <v>3.2</v>
      </c>
      <c r="V26" s="162">
        <v>9</v>
      </c>
      <c r="W26" s="162"/>
      <c r="X26" s="162"/>
      <c r="Y26" s="162"/>
      <c r="Z26" s="162"/>
      <c r="AA26" s="162"/>
      <c r="AB26" s="155"/>
      <c r="AC26" s="155"/>
      <c r="AD26" s="155"/>
      <c r="AE26" s="155"/>
      <c r="AF26" s="155"/>
      <c r="AG26" s="155"/>
      <c r="AH26" s="163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</row>
    <row r="27" spans="1:59" ht="15" customHeight="1" thickBot="1">
      <c r="A27" s="188" t="s">
        <v>87</v>
      </c>
      <c r="B27" s="189"/>
      <c r="C27" s="229" t="s">
        <v>86</v>
      </c>
      <c r="D27" s="230"/>
      <c r="E27" s="234" t="s">
        <v>28</v>
      </c>
      <c r="F27" s="270"/>
      <c r="G27" s="271"/>
      <c r="H27" s="153">
        <f>IF(OR(E22=1,E22=2),E39*0,0)</f>
        <v>0</v>
      </c>
      <c r="I27" s="162"/>
      <c r="J27" s="154"/>
      <c r="K27" s="154"/>
      <c r="L27" s="155"/>
      <c r="M27" s="157"/>
      <c r="N27" s="155"/>
      <c r="O27" s="165" t="s">
        <v>172</v>
      </c>
      <c r="P27" s="165" t="s">
        <v>173</v>
      </c>
      <c r="Q27" s="160"/>
      <c r="R27" s="160"/>
      <c r="S27" s="160"/>
      <c r="T27" s="159"/>
      <c r="U27" s="157"/>
      <c r="V27" s="162">
        <v>0</v>
      </c>
      <c r="W27" s="162"/>
      <c r="X27" s="162"/>
      <c r="Y27" s="162"/>
      <c r="Z27" s="162"/>
      <c r="AA27" s="162"/>
      <c r="AB27" s="155"/>
      <c r="AC27" s="155"/>
      <c r="AD27" s="155"/>
      <c r="AE27" s="155"/>
      <c r="AF27" s="155"/>
      <c r="AG27" s="155"/>
      <c r="AH27" s="163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</row>
    <row r="28" spans="1:59" ht="15" customHeight="1">
      <c r="A28" s="254">
        <v>1</v>
      </c>
      <c r="B28" s="255"/>
      <c r="C28" s="263"/>
      <c r="D28" s="264"/>
      <c r="E28" s="235"/>
      <c r="F28" s="243" t="s">
        <v>72</v>
      </c>
      <c r="G28" s="244"/>
      <c r="H28" s="178" t="str">
        <f>INDEX(J2:J7,A9)</f>
        <v>Chyba</v>
      </c>
      <c r="I28" s="162"/>
      <c r="J28" s="154"/>
      <c r="K28" s="154"/>
      <c r="L28" s="154" t="s">
        <v>81</v>
      </c>
      <c r="M28" s="157"/>
      <c r="N28" s="179" t="s">
        <v>169</v>
      </c>
      <c r="O28" s="165">
        <v>200</v>
      </c>
      <c r="P28" s="165">
        <v>200</v>
      </c>
      <c r="Q28" s="166"/>
      <c r="R28" s="159"/>
      <c r="S28" s="159"/>
      <c r="T28" s="159"/>
      <c r="U28" s="157"/>
      <c r="V28" s="162"/>
      <c r="W28" s="162"/>
      <c r="X28" s="162"/>
      <c r="Y28" s="162"/>
      <c r="Z28" s="162"/>
      <c r="AA28" s="162"/>
      <c r="AB28" s="155"/>
      <c r="AC28" s="155"/>
      <c r="AD28" s="155"/>
      <c r="AE28" s="155"/>
      <c r="AF28" s="155"/>
      <c r="AG28" s="155"/>
      <c r="AH28" s="163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</row>
    <row r="29" spans="1:59" ht="15" customHeight="1">
      <c r="A29" s="99" t="s">
        <v>49</v>
      </c>
      <c r="B29" s="10" t="s">
        <v>50</v>
      </c>
      <c r="C29" s="9" t="s">
        <v>51</v>
      </c>
      <c r="D29" s="11" t="s">
        <v>52</v>
      </c>
      <c r="E29" s="251" t="str">
        <f>IF(OR(F35=0,C42=0,G35=0,F36=0,G36=0,F37=0,G37=0,F38=0,G38=0,F39=0,G39=0,F40=0,G40=0),"chyba, vše zkontrolujte !!","v pořádku")</f>
        <v>chyba, vše zkontrolujte !!</v>
      </c>
      <c r="F29" s="245"/>
      <c r="G29" s="246"/>
      <c r="H29" s="168">
        <f>IF(A12*A13*C3&lt;10000,1,A12*A13*C3/10000)</f>
        <v>1</v>
      </c>
      <c r="I29" s="162"/>
      <c r="J29" s="168" t="s">
        <v>177</v>
      </c>
      <c r="K29" s="154"/>
      <c r="L29" s="154" t="s">
        <v>47</v>
      </c>
      <c r="M29" s="157"/>
      <c r="N29" s="179" t="s">
        <v>170</v>
      </c>
      <c r="O29" s="165">
        <v>200</v>
      </c>
      <c r="P29" s="165">
        <v>200</v>
      </c>
      <c r="Q29" s="164"/>
      <c r="R29" s="157"/>
      <c r="S29" s="157"/>
      <c r="T29" s="157"/>
      <c r="U29" s="157"/>
      <c r="V29" s="162"/>
      <c r="W29" s="162"/>
      <c r="X29" s="162"/>
      <c r="Y29" s="162"/>
      <c r="Z29" s="162"/>
      <c r="AA29" s="162"/>
      <c r="AB29" s="155"/>
      <c r="AC29" s="155"/>
      <c r="AD29" s="155"/>
      <c r="AE29" s="155"/>
      <c r="AF29" s="155"/>
      <c r="AG29" s="155"/>
      <c r="AH29" s="163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</row>
    <row r="30" spans="1:59" ht="15" customHeight="1" thickBot="1">
      <c r="A30" s="120">
        <f>IF(A28=3,300,0)</f>
        <v>0</v>
      </c>
      <c r="B30" s="121">
        <f>INDEX(J8:J11,A28)*H29</f>
        <v>0</v>
      </c>
      <c r="C30" s="122">
        <v>0</v>
      </c>
      <c r="D30" s="123">
        <v>0</v>
      </c>
      <c r="E30" s="252"/>
      <c r="F30" s="245"/>
      <c r="G30" s="246"/>
      <c r="H30" s="153" t="e">
        <f>H28*(1-E2)</f>
        <v>#VALUE!</v>
      </c>
      <c r="I30" s="162"/>
      <c r="J30" s="168" t="s">
        <v>178</v>
      </c>
      <c r="K30" s="154"/>
      <c r="L30" s="154" t="s">
        <v>53</v>
      </c>
      <c r="M30" s="157"/>
      <c r="N30" s="179" t="s">
        <v>171</v>
      </c>
      <c r="O30" s="165">
        <v>250</v>
      </c>
      <c r="P30" s="165">
        <v>250</v>
      </c>
      <c r="Q30" s="164"/>
      <c r="R30" s="157"/>
      <c r="S30" s="157"/>
      <c r="T30" s="157"/>
      <c r="U30" s="157"/>
      <c r="V30" s="162"/>
      <c r="W30" s="162"/>
      <c r="X30" s="162"/>
      <c r="Y30" s="162"/>
      <c r="Z30" s="162"/>
      <c r="AA30" s="162"/>
      <c r="AB30" s="155"/>
      <c r="AC30" s="155"/>
      <c r="AD30" s="155"/>
      <c r="AE30" s="155"/>
      <c r="AF30" s="155"/>
      <c r="AG30" s="155"/>
      <c r="AH30" s="163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</row>
    <row r="31" spans="1:59" ht="0.75" customHeight="1">
      <c r="A31" s="147"/>
      <c r="B31" s="147"/>
      <c r="C31" s="147"/>
      <c r="D31" s="112"/>
      <c r="E31" s="113"/>
      <c r="F31" s="245"/>
      <c r="G31" s="246"/>
      <c r="H31" s="180">
        <f>IF(OR(A9=3,A9=4,A9=5),MIN(66,IF(H29&lt;20,0,LOG10(3*H29-59)*19)),MIN(60,IF(H29&lt;20,0,IF(H29&lt;60,H29/10-2,LOG10(0.1*H29-4)*30))))</f>
        <v>0</v>
      </c>
      <c r="I31" s="162"/>
      <c r="J31" s="168" t="s">
        <v>23</v>
      </c>
      <c r="K31" s="154"/>
      <c r="L31" s="154" t="s">
        <v>58</v>
      </c>
      <c r="M31" s="157"/>
      <c r="N31" s="179" t="s">
        <v>181</v>
      </c>
      <c r="O31" s="165">
        <v>250</v>
      </c>
      <c r="P31" s="165">
        <v>250</v>
      </c>
      <c r="Q31" s="164"/>
      <c r="R31" s="157"/>
      <c r="S31" s="157"/>
      <c r="T31" s="157"/>
      <c r="U31" s="157"/>
      <c r="V31" s="162"/>
      <c r="W31" s="162"/>
      <c r="X31" s="162"/>
      <c r="Y31" s="162"/>
      <c r="Z31" s="162"/>
      <c r="AA31" s="162"/>
      <c r="AB31" s="155"/>
      <c r="AC31" s="155"/>
      <c r="AD31" s="155"/>
      <c r="AE31" s="155"/>
      <c r="AF31" s="155"/>
      <c r="AG31" s="155"/>
      <c r="AH31" s="163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</row>
    <row r="32" spans="1:59" ht="15" customHeight="1">
      <c r="A32" s="148"/>
      <c r="B32" s="148"/>
      <c r="C32" s="148"/>
      <c r="D32" s="151" t="s">
        <v>213</v>
      </c>
      <c r="F32" s="245"/>
      <c r="G32" s="246"/>
      <c r="H32" s="180"/>
      <c r="I32" s="162"/>
      <c r="J32" s="168"/>
      <c r="K32" s="154"/>
      <c r="L32" s="154" t="s">
        <v>55</v>
      </c>
      <c r="M32" s="157"/>
      <c r="N32" s="179" t="s">
        <v>182</v>
      </c>
      <c r="O32" s="165">
        <v>250</v>
      </c>
      <c r="P32" s="165">
        <v>250</v>
      </c>
      <c r="Q32" s="164"/>
      <c r="R32" s="157"/>
      <c r="S32" s="157"/>
      <c r="T32" s="157"/>
      <c r="U32" s="157"/>
      <c r="V32" s="162"/>
      <c r="W32" s="162"/>
      <c r="X32" s="162"/>
      <c r="Y32" s="162"/>
      <c r="Z32" s="162"/>
      <c r="AA32" s="162"/>
      <c r="AB32" s="155"/>
      <c r="AC32" s="155"/>
      <c r="AD32" s="155"/>
      <c r="AE32" s="155"/>
      <c r="AF32" s="155"/>
      <c r="AG32" s="155"/>
      <c r="AH32" s="163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</row>
    <row r="33" spans="1:59" ht="15" customHeight="1" thickBot="1">
      <c r="A33" s="148"/>
      <c r="B33" s="148"/>
      <c r="C33" s="148"/>
      <c r="D33" s="150" t="s">
        <v>212</v>
      </c>
      <c r="E33" s="152">
        <v>10</v>
      </c>
      <c r="F33" s="247"/>
      <c r="G33" s="248"/>
      <c r="H33" s="153">
        <f>H29*E33</f>
        <v>10</v>
      </c>
      <c r="I33" s="162"/>
      <c r="J33" s="168"/>
      <c r="K33" s="154"/>
      <c r="L33" s="155"/>
      <c r="M33" s="157"/>
      <c r="N33" s="179" t="s">
        <v>183</v>
      </c>
      <c r="O33" s="165">
        <v>250</v>
      </c>
      <c r="P33" s="165">
        <v>250</v>
      </c>
      <c r="Q33" s="164"/>
      <c r="R33" s="157"/>
      <c r="S33" s="157"/>
      <c r="T33" s="157"/>
      <c r="U33" s="157"/>
      <c r="V33" s="162"/>
      <c r="W33" s="162"/>
      <c r="X33" s="162"/>
      <c r="Y33" s="162"/>
      <c r="Z33" s="162"/>
      <c r="AA33" s="162"/>
      <c r="AB33" s="155"/>
      <c r="AC33" s="155"/>
      <c r="AD33" s="155"/>
      <c r="AE33" s="155"/>
      <c r="AF33" s="155"/>
      <c r="AG33" s="155"/>
      <c r="AH33" s="163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</row>
    <row r="34" spans="1:59" ht="15" customHeight="1">
      <c r="A34" s="148"/>
      <c r="B34" s="148"/>
      <c r="C34" s="148"/>
      <c r="D34" s="50" t="s">
        <v>193</v>
      </c>
      <c r="E34" s="133">
        <f>K36+K37+L38+K39+K40+K41+K42+K43+K44</f>
        <v>65</v>
      </c>
      <c r="F34" s="249" t="s">
        <v>103</v>
      </c>
      <c r="G34" s="250"/>
      <c r="H34" s="153" t="e">
        <f>H35/C3</f>
        <v>#VALUE!</v>
      </c>
      <c r="I34" s="162"/>
      <c r="J34" s="168"/>
      <c r="K34" s="154"/>
      <c r="L34" s="154" t="s">
        <v>80</v>
      </c>
      <c r="M34" s="157"/>
      <c r="N34" s="155"/>
      <c r="O34" s="165">
        <v>0</v>
      </c>
      <c r="P34" s="165">
        <v>0</v>
      </c>
      <c r="Q34" s="164"/>
      <c r="R34" s="157"/>
      <c r="S34" s="157"/>
      <c r="T34" s="157"/>
      <c r="U34" s="157"/>
      <c r="V34" s="162"/>
      <c r="W34" s="162"/>
      <c r="X34" s="162"/>
      <c r="Y34" s="162"/>
      <c r="Z34" s="162"/>
      <c r="AA34" s="162"/>
      <c r="AB34" s="155"/>
      <c r="AC34" s="155"/>
      <c r="AD34" s="155"/>
      <c r="AE34" s="155"/>
      <c r="AF34" s="155"/>
      <c r="AG34" s="155"/>
      <c r="AH34" s="163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</row>
    <row r="35" spans="1:59" ht="15" customHeight="1">
      <c r="A35" s="148"/>
      <c r="B35" s="148"/>
      <c r="C35" s="148"/>
      <c r="D35" s="49"/>
      <c r="E35" s="39"/>
      <c r="F35" s="71">
        <f>IF(OR(A3=0,C3=0),0,1)</f>
        <v>0</v>
      </c>
      <c r="G35" s="61">
        <f>IF(OR(A5=0,A7=0),0,1)</f>
        <v>0</v>
      </c>
      <c r="H35" s="153" t="e">
        <f>H29*(H30+E33)*(1+E4)</f>
        <v>#VALUE!</v>
      </c>
      <c r="I35" s="157"/>
      <c r="J35" s="154" t="s">
        <v>153</v>
      </c>
      <c r="K35" s="154"/>
      <c r="L35" s="154" t="s">
        <v>179</v>
      </c>
      <c r="M35" s="157"/>
      <c r="N35" s="155"/>
      <c r="O35" s="157"/>
      <c r="P35" s="157"/>
      <c r="Q35" s="164"/>
      <c r="R35" s="157"/>
      <c r="S35" s="157"/>
      <c r="T35" s="157"/>
      <c r="U35" s="157"/>
      <c r="V35" s="162"/>
      <c r="W35" s="162"/>
      <c r="X35" s="162"/>
      <c r="Y35" s="162"/>
      <c r="Z35" s="162"/>
      <c r="AA35" s="162"/>
      <c r="AB35" s="155"/>
      <c r="AC35" s="155"/>
      <c r="AD35" s="155"/>
      <c r="AE35" s="155"/>
      <c r="AF35" s="155"/>
      <c r="AG35" s="155"/>
      <c r="AH35" s="163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</row>
    <row r="36" spans="1:59" ht="15" customHeight="1">
      <c r="A36" s="148"/>
      <c r="B36" s="148"/>
      <c r="C36" s="148"/>
      <c r="D36" s="50" t="s">
        <v>188</v>
      </c>
      <c r="E36" s="132"/>
      <c r="F36" s="71">
        <f>IF(OR(D5&gt;10,D7&gt;12),0,1)</f>
        <v>0</v>
      </c>
      <c r="G36" s="61">
        <f>IF(OR(A9=6,D9=6),0,1)</f>
        <v>0</v>
      </c>
      <c r="H36" s="157">
        <f>(A12*A13)/10000</f>
        <v>0</v>
      </c>
      <c r="I36" s="162"/>
      <c r="J36" s="154" t="s">
        <v>154</v>
      </c>
      <c r="K36" s="154">
        <f>B15+C15*5</f>
        <v>0</v>
      </c>
      <c r="L36" s="155"/>
      <c r="M36" s="157"/>
      <c r="N36" s="155"/>
      <c r="O36" s="157"/>
      <c r="P36" s="157"/>
      <c r="Q36" s="155"/>
      <c r="R36" s="157"/>
      <c r="S36" s="157"/>
      <c r="T36" s="157"/>
      <c r="U36" s="157"/>
      <c r="V36" s="162"/>
      <c r="W36" s="162"/>
      <c r="X36" s="162"/>
      <c r="Y36" s="162"/>
      <c r="Z36" s="162"/>
      <c r="AA36" s="162"/>
      <c r="AB36" s="155"/>
      <c r="AC36" s="155"/>
      <c r="AD36" s="155"/>
      <c r="AE36" s="155"/>
      <c r="AF36" s="155"/>
      <c r="AG36" s="155"/>
      <c r="AH36" s="163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</row>
    <row r="37" spans="1:59" ht="15" customHeight="1">
      <c r="A37" s="148"/>
      <c r="B37" s="148"/>
      <c r="C37" s="148"/>
      <c r="D37" s="49"/>
      <c r="F37" s="71">
        <f>IF(OR(A12=0,A13=0),0,1)</f>
        <v>0</v>
      </c>
      <c r="G37" s="61">
        <f>IF(OR(C12=0,C3=0),0,1)</f>
        <v>0</v>
      </c>
      <c r="H37" s="168">
        <f>IF($D$7&lt;6,INDEX($R$2:$R$13,$D$7),0)</f>
        <v>0</v>
      </c>
      <c r="I37" s="164" t="s">
        <v>199</v>
      </c>
      <c r="J37" s="154" t="s">
        <v>155</v>
      </c>
      <c r="K37" s="154">
        <f>B15+C15*1</f>
        <v>0</v>
      </c>
      <c r="L37" s="155"/>
      <c r="M37" s="157"/>
      <c r="N37" s="155"/>
      <c r="O37" s="157"/>
      <c r="P37" s="157"/>
      <c r="Q37" s="155"/>
      <c r="R37" s="157"/>
      <c r="S37" s="157"/>
      <c r="T37" s="157"/>
      <c r="U37" s="157"/>
      <c r="V37" s="162"/>
      <c r="W37" s="162"/>
      <c r="X37" s="162"/>
      <c r="Y37" s="162"/>
      <c r="Z37" s="162"/>
      <c r="AA37" s="162"/>
      <c r="AB37" s="155"/>
      <c r="AC37" s="155"/>
      <c r="AD37" s="155"/>
      <c r="AE37" s="155"/>
      <c r="AF37" s="155"/>
      <c r="AG37" s="155"/>
      <c r="AH37" s="163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</row>
    <row r="38" spans="1:59" ht="15" customHeight="1">
      <c r="A38" s="148"/>
      <c r="B38" s="148"/>
      <c r="C38" s="148"/>
      <c r="D38" s="50" t="s">
        <v>189</v>
      </c>
      <c r="F38" s="71">
        <f>IF(OR(A17&gt;7,A18=3),0,1)</f>
        <v>0</v>
      </c>
      <c r="G38" s="61">
        <f>IF(OR(A19=4,AND(A19&lt;3,B19=7),A20=4,AND(A20&lt;3,B20=7)),0,1)</f>
        <v>0</v>
      </c>
      <c r="H38" s="168">
        <f>IF($D$7&gt;5,INDEX($R$2:$R$13,$D$7),0)</f>
        <v>0</v>
      </c>
      <c r="I38" s="164"/>
      <c r="J38" s="154" t="s">
        <v>156</v>
      </c>
      <c r="K38" s="181">
        <f>L38/10</f>
        <v>0</v>
      </c>
      <c r="L38" s="181">
        <f>H1+H2/10</f>
        <v>0</v>
      </c>
      <c r="M38" s="157"/>
      <c r="N38" s="155"/>
      <c r="O38" s="157"/>
      <c r="P38" s="157"/>
      <c r="Q38" s="155"/>
      <c r="R38" s="157"/>
      <c r="S38" s="157"/>
      <c r="T38" s="157"/>
      <c r="U38" s="157"/>
      <c r="V38" s="162"/>
      <c r="W38" s="162"/>
      <c r="X38" s="162"/>
      <c r="Y38" s="162"/>
      <c r="Z38" s="162"/>
      <c r="AA38" s="162"/>
      <c r="AB38" s="155"/>
      <c r="AC38" s="155"/>
      <c r="AD38" s="155"/>
      <c r="AE38" s="155"/>
      <c r="AF38" s="155"/>
      <c r="AG38" s="155"/>
      <c r="AH38" s="163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</row>
    <row r="39" spans="1:59" ht="0.75" customHeight="1" thickBot="1">
      <c r="A39" s="149"/>
      <c r="B39" s="149"/>
      <c r="C39" s="149"/>
      <c r="D39" s="114"/>
      <c r="E39" s="115">
        <v>1</v>
      </c>
      <c r="F39" s="71">
        <f>IF($E$17&gt;14,0,1)</f>
        <v>0</v>
      </c>
      <c r="G39" s="61">
        <f>IF(OR(E18=3,B22&gt;7,AND(OR(B22=3,B22=5,B22=6),OR(A22&gt;7,A25=0))),0,1)</f>
        <v>0</v>
      </c>
      <c r="H39" s="168"/>
      <c r="I39" s="164"/>
      <c r="J39" s="154" t="s">
        <v>157</v>
      </c>
      <c r="K39" s="181">
        <f>H9/3</f>
        <v>0</v>
      </c>
      <c r="L39" s="154"/>
      <c r="M39" s="157"/>
      <c r="N39" s="155"/>
      <c r="O39" s="157"/>
      <c r="P39" s="157"/>
      <c r="Q39" s="157"/>
      <c r="R39" s="157"/>
      <c r="S39" s="157"/>
      <c r="T39" s="157"/>
      <c r="U39" s="157"/>
      <c r="V39" s="162"/>
      <c r="W39" s="162"/>
      <c r="X39" s="162"/>
      <c r="Y39" s="162"/>
      <c r="Z39" s="162"/>
      <c r="AA39" s="162"/>
      <c r="AB39" s="155"/>
      <c r="AC39" s="155"/>
      <c r="AD39" s="155"/>
      <c r="AE39" s="155"/>
      <c r="AF39" s="155"/>
      <c r="AG39" s="155"/>
      <c r="AH39" s="163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</row>
    <row r="40" spans="1:59" ht="15" customHeight="1" thickBot="1">
      <c r="A40" s="201" t="s">
        <v>96</v>
      </c>
      <c r="B40" s="202"/>
      <c r="C40" s="111" t="s">
        <v>97</v>
      </c>
      <c r="D40" s="265">
        <f>$A$1</f>
        <v>0</v>
      </c>
      <c r="E40" s="266"/>
      <c r="F40" s="63">
        <f>IF(OR(AND(E39=0,E22&lt;&gt;3),E22=4),0,1)</f>
        <v>0</v>
      </c>
      <c r="G40" s="62">
        <f>IF(E22=4,0,1)</f>
        <v>0</v>
      </c>
      <c r="H40" s="168"/>
      <c r="I40" s="164"/>
      <c r="J40" s="154" t="s">
        <v>158</v>
      </c>
      <c r="K40" s="154">
        <f>B15*C15*1</f>
        <v>0</v>
      </c>
      <c r="L40" s="164"/>
      <c r="M40" s="157"/>
      <c r="N40" s="157"/>
      <c r="O40" s="157"/>
      <c r="P40" s="157"/>
      <c r="Q40" s="157"/>
      <c r="R40" s="157"/>
      <c r="S40" s="157"/>
      <c r="T40" s="157"/>
      <c r="U40" s="157"/>
      <c r="V40" s="162"/>
      <c r="W40" s="162"/>
      <c r="X40" s="162"/>
      <c r="Y40" s="162"/>
      <c r="Z40" s="162"/>
      <c r="AA40" s="162"/>
      <c r="AB40" s="155"/>
      <c r="AC40" s="155"/>
      <c r="AD40" s="155"/>
      <c r="AE40" s="155"/>
      <c r="AF40" s="155"/>
      <c r="AG40" s="155"/>
      <c r="AH40" s="163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</row>
    <row r="41" spans="1:59" ht="15" customHeight="1">
      <c r="A41" s="100" t="s">
        <v>93</v>
      </c>
      <c r="B41" s="34" t="s">
        <v>95</v>
      </c>
      <c r="C41" s="34" t="s">
        <v>94</v>
      </c>
      <c r="D41" s="34" t="s">
        <v>27</v>
      </c>
      <c r="E41" s="101" t="s">
        <v>42</v>
      </c>
      <c r="F41" s="64" t="s">
        <v>62</v>
      </c>
      <c r="G41" s="53" t="s">
        <v>25</v>
      </c>
      <c r="H41" s="168"/>
      <c r="I41" s="164"/>
      <c r="J41" s="154" t="s">
        <v>159</v>
      </c>
      <c r="K41" s="164">
        <f>D22*0.002</f>
        <v>0</v>
      </c>
      <c r="L41" s="164"/>
      <c r="M41" s="157"/>
      <c r="N41" s="155"/>
      <c r="O41" s="157"/>
      <c r="P41" s="157"/>
      <c r="Q41" s="157"/>
      <c r="R41" s="157"/>
      <c r="S41" s="157"/>
      <c r="T41" s="157"/>
      <c r="U41" s="157"/>
      <c r="V41" s="162"/>
      <c r="W41" s="162"/>
      <c r="X41" s="162"/>
      <c r="Y41" s="162"/>
      <c r="Z41" s="162"/>
      <c r="AA41" s="162"/>
      <c r="AB41" s="155"/>
      <c r="AC41" s="155"/>
      <c r="AD41" s="155"/>
      <c r="AE41" s="155"/>
      <c r="AF41" s="155"/>
      <c r="AG41" s="155"/>
      <c r="AH41" s="163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</row>
    <row r="42" spans="1:59" ht="15" customHeight="1">
      <c r="A42" s="102" t="str">
        <f ca="1">MID(CELL("filename",$A$1),SEARCH("[",CELL("filename",$A$1))+1,SEARCH("]",CELL("filename",$A$1))-SEARCH("[",CELL("filename",$A$1))-5)</f>
        <v>Dps</v>
      </c>
      <c r="B42" s="51"/>
      <c r="C42" s="143"/>
      <c r="D42" s="46">
        <f>G16</f>
        <v>0</v>
      </c>
      <c r="E42" s="103">
        <f>G17</f>
        <v>0</v>
      </c>
      <c r="F42" s="65" t="e">
        <f>H30+E33</f>
        <v>#VALUE!</v>
      </c>
      <c r="G42" s="54">
        <f>H36</f>
        <v>0</v>
      </c>
      <c r="H42" s="168"/>
      <c r="I42" s="164"/>
      <c r="J42" s="154" t="s">
        <v>160</v>
      </c>
      <c r="K42" s="154">
        <f>C19*3</f>
        <v>0</v>
      </c>
      <c r="L42" s="164"/>
      <c r="M42" s="157"/>
      <c r="N42" s="155"/>
      <c r="O42" s="157"/>
      <c r="P42" s="157"/>
      <c r="Q42" s="157"/>
      <c r="R42" s="157"/>
      <c r="S42" s="157"/>
      <c r="T42" s="157"/>
      <c r="U42" s="157"/>
      <c r="V42" s="162"/>
      <c r="W42" s="162"/>
      <c r="X42" s="162"/>
      <c r="Y42" s="162"/>
      <c r="Z42" s="162"/>
      <c r="AA42" s="162"/>
      <c r="AB42" s="155"/>
      <c r="AC42" s="155"/>
      <c r="AD42" s="155"/>
      <c r="AE42" s="155"/>
      <c r="AF42" s="155"/>
      <c r="AG42" s="155"/>
      <c r="AH42" s="163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</row>
    <row r="43" spans="1:59" ht="15" customHeight="1">
      <c r="A43" s="104" t="s">
        <v>54</v>
      </c>
      <c r="B43" s="37">
        <f>A7</f>
        <v>0</v>
      </c>
      <c r="C43" s="242" t="s">
        <v>30</v>
      </c>
      <c r="D43" s="242"/>
      <c r="E43" s="105">
        <f>C3</f>
        <v>0</v>
      </c>
      <c r="F43" s="66" t="s">
        <v>24</v>
      </c>
      <c r="G43" s="55" t="s">
        <v>61</v>
      </c>
      <c r="H43" s="168"/>
      <c r="I43" s="154"/>
      <c r="J43" s="154" t="s">
        <v>161</v>
      </c>
      <c r="K43" s="154">
        <f>65</f>
        <v>65</v>
      </c>
      <c r="L43" s="164"/>
      <c r="M43" s="157"/>
      <c r="N43" s="157"/>
      <c r="O43" s="157"/>
      <c r="P43" s="157"/>
      <c r="Q43" s="157"/>
      <c r="R43" s="157"/>
      <c r="S43" s="157"/>
      <c r="T43" s="157"/>
      <c r="U43" s="157"/>
      <c r="V43" s="162"/>
      <c r="W43" s="162"/>
      <c r="X43" s="162"/>
      <c r="Y43" s="162"/>
      <c r="Z43" s="162"/>
      <c r="AA43" s="162"/>
      <c r="AB43" s="155"/>
      <c r="AC43" s="155"/>
      <c r="AD43" s="155"/>
      <c r="AE43" s="155"/>
      <c r="AF43" s="155"/>
      <c r="AG43" s="155"/>
      <c r="AH43" s="163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</row>
    <row r="44" spans="1:59" ht="15" customHeight="1">
      <c r="A44" s="106" t="s">
        <v>20</v>
      </c>
      <c r="B44" s="36" t="e">
        <f>H5</f>
        <v>#VALUE!</v>
      </c>
      <c r="C44" s="262" t="s">
        <v>32</v>
      </c>
      <c r="D44" s="262"/>
      <c r="E44" s="107" t="e">
        <f>C47/C3</f>
        <v>#VALUE!</v>
      </c>
      <c r="F44" s="67">
        <f>H29</f>
        <v>1</v>
      </c>
      <c r="G44" s="56">
        <f>H19</f>
        <v>0</v>
      </c>
      <c r="H44" s="168"/>
      <c r="I44" s="154"/>
      <c r="J44" s="154" t="s">
        <v>162</v>
      </c>
      <c r="K44" s="154" t="b">
        <f>IF(A9=3,0)</f>
        <v>0</v>
      </c>
      <c r="L44" s="164"/>
      <c r="M44" s="157"/>
      <c r="N44" s="157"/>
      <c r="O44" s="157"/>
      <c r="P44" s="157"/>
      <c r="Q44" s="157"/>
      <c r="R44" s="157"/>
      <c r="S44" s="157"/>
      <c r="T44" s="157"/>
      <c r="U44" s="157"/>
      <c r="V44" s="162"/>
      <c r="W44" s="162"/>
      <c r="X44" s="162"/>
      <c r="Y44" s="162"/>
      <c r="Z44" s="162"/>
      <c r="AA44" s="162"/>
      <c r="AB44" s="155"/>
      <c r="AC44" s="155"/>
      <c r="AD44" s="155"/>
      <c r="AE44" s="155"/>
      <c r="AF44" s="155"/>
      <c r="AG44" s="155"/>
      <c r="AH44" s="163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</row>
    <row r="45" spans="1:59" ht="15" customHeight="1">
      <c r="A45" s="106" t="s">
        <v>99</v>
      </c>
      <c r="B45" s="36">
        <f>H7+H8+H10+H18+H19</f>
        <v>0</v>
      </c>
      <c r="C45" s="253" t="s">
        <v>31</v>
      </c>
      <c r="D45" s="253"/>
      <c r="E45" s="107" t="e">
        <f>C48</f>
        <v>#VALUE!</v>
      </c>
      <c r="F45" s="68" t="s">
        <v>64</v>
      </c>
      <c r="G45" s="57" t="s">
        <v>65</v>
      </c>
      <c r="H45" s="168"/>
      <c r="I45" s="154"/>
      <c r="J45" s="164"/>
      <c r="K45" s="154"/>
      <c r="L45" s="164"/>
      <c r="M45" s="157"/>
      <c r="N45" s="157"/>
      <c r="O45" s="157"/>
      <c r="P45" s="157"/>
      <c r="Q45" s="157"/>
      <c r="R45" s="157"/>
      <c r="S45" s="157"/>
      <c r="T45" s="157"/>
      <c r="U45" s="157"/>
      <c r="V45" s="162"/>
      <c r="W45" s="162"/>
      <c r="X45" s="162"/>
      <c r="Y45" s="162"/>
      <c r="Z45" s="162"/>
      <c r="AA45" s="162"/>
      <c r="AB45" s="155"/>
      <c r="AC45" s="155"/>
      <c r="AD45" s="155"/>
      <c r="AE45" s="155"/>
      <c r="AF45" s="155"/>
      <c r="AG45" s="155"/>
      <c r="AH45" s="163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</row>
    <row r="46" spans="1:59" ht="15" customHeight="1">
      <c r="A46" s="260" t="s">
        <v>56</v>
      </c>
      <c r="B46" s="261"/>
      <c r="C46" s="8" t="s">
        <v>35</v>
      </c>
      <c r="D46" s="8" t="s">
        <v>36</v>
      </c>
      <c r="E46" s="108" t="s">
        <v>37</v>
      </c>
      <c r="F46" s="65">
        <f>H2</f>
        <v>0</v>
      </c>
      <c r="G46" s="56">
        <f>H1</f>
        <v>0</v>
      </c>
      <c r="H46" s="168"/>
      <c r="I46" s="154"/>
      <c r="J46" s="154"/>
      <c r="K46" s="154"/>
      <c r="L46" s="164"/>
      <c r="M46" s="157"/>
      <c r="N46" s="157"/>
      <c r="O46" s="157"/>
      <c r="P46" s="157"/>
      <c r="Q46" s="157"/>
      <c r="R46" s="157"/>
      <c r="S46" s="157"/>
      <c r="T46" s="157"/>
      <c r="U46" s="157"/>
      <c r="V46" s="162"/>
      <c r="W46" s="162"/>
      <c r="X46" s="162"/>
      <c r="Y46" s="162"/>
      <c r="Z46" s="162"/>
      <c r="AA46" s="162"/>
      <c r="AB46" s="155"/>
      <c r="AC46" s="155"/>
      <c r="AD46" s="155"/>
      <c r="AE46" s="155"/>
      <c r="AF46" s="155"/>
      <c r="AG46" s="155"/>
      <c r="AH46" s="163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</row>
    <row r="47" spans="1:59" ht="15" customHeight="1">
      <c r="A47" s="190" t="s">
        <v>201</v>
      </c>
      <c r="B47" s="191"/>
      <c r="C47" s="6" t="e">
        <f>H35+H9+H17+H16+M27+H2+H1+D50+B30+D30</f>
        <v>#VALUE!</v>
      </c>
      <c r="D47" s="7" t="e">
        <f>C47*0.21</f>
        <v>#VALUE!</v>
      </c>
      <c r="E47" s="109" t="e">
        <f>C47+D47</f>
        <v>#VALUE!</v>
      </c>
      <c r="F47" s="69" t="s">
        <v>66</v>
      </c>
      <c r="G47" s="58" t="s">
        <v>67</v>
      </c>
      <c r="H47" s="168"/>
      <c r="I47" s="154"/>
      <c r="J47" s="154"/>
      <c r="K47" s="154"/>
      <c r="L47" s="164"/>
      <c r="M47" s="157"/>
      <c r="N47" s="157"/>
      <c r="O47" s="157"/>
      <c r="P47" s="157"/>
      <c r="Q47" s="157"/>
      <c r="R47" s="157"/>
      <c r="S47" s="157"/>
      <c r="T47" s="157"/>
      <c r="U47" s="157"/>
      <c r="V47" s="162"/>
      <c r="W47" s="162"/>
      <c r="X47" s="162"/>
      <c r="Y47" s="162"/>
      <c r="Z47" s="162"/>
      <c r="AA47" s="162"/>
      <c r="AB47" s="155"/>
      <c r="AC47" s="155"/>
      <c r="AD47" s="155"/>
      <c r="AE47" s="155"/>
      <c r="AF47" s="155"/>
      <c r="AG47" s="155"/>
      <c r="AH47" s="163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</row>
    <row r="48" spans="1:59" ht="15" customHeight="1">
      <c r="A48" s="190" t="s">
        <v>202</v>
      </c>
      <c r="B48" s="191"/>
      <c r="C48" s="6" t="e">
        <f>H38+B44+B45+D51+A30+C30</f>
        <v>#VALUE!</v>
      </c>
      <c r="D48" s="7" t="e">
        <f>C48*0.21</f>
        <v>#VALUE!</v>
      </c>
      <c r="E48" s="109" t="e">
        <f>C48+D48</f>
        <v>#VALUE!</v>
      </c>
      <c r="F48" s="69">
        <f>H7</f>
        <v>0</v>
      </c>
      <c r="G48" s="58">
        <f>H8</f>
        <v>0</v>
      </c>
      <c r="H48" s="164"/>
      <c r="I48" s="154"/>
      <c r="J48" s="154"/>
      <c r="K48" s="164"/>
      <c r="L48" s="164"/>
      <c r="M48" s="157"/>
      <c r="N48" s="157"/>
      <c r="O48" s="157"/>
      <c r="P48" s="157"/>
      <c r="Q48" s="157"/>
      <c r="R48" s="157"/>
      <c r="S48" s="157"/>
      <c r="T48" s="157"/>
      <c r="U48" s="157"/>
      <c r="V48" s="162"/>
      <c r="W48" s="162"/>
      <c r="X48" s="162"/>
      <c r="Y48" s="162"/>
      <c r="Z48" s="162"/>
      <c r="AA48" s="162"/>
      <c r="AB48" s="155"/>
      <c r="AC48" s="155"/>
      <c r="AD48" s="155"/>
      <c r="AE48" s="155"/>
      <c r="AF48" s="155"/>
      <c r="AG48" s="155"/>
      <c r="AH48" s="163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</row>
    <row r="49" spans="1:59" ht="15" customHeight="1">
      <c r="A49" s="256" t="s">
        <v>203</v>
      </c>
      <c r="B49" s="257"/>
      <c r="C49" s="45">
        <f>H37</f>
        <v>0</v>
      </c>
      <c r="D49" s="45">
        <f>C49*0.21</f>
        <v>0</v>
      </c>
      <c r="E49" s="110">
        <f>C49+D49</f>
        <v>0</v>
      </c>
      <c r="F49" s="69" t="s">
        <v>69</v>
      </c>
      <c r="G49" s="58" t="s">
        <v>68</v>
      </c>
      <c r="H49" s="164"/>
      <c r="I49" s="154"/>
      <c r="J49" s="154"/>
      <c r="K49" s="164"/>
      <c r="L49" s="164"/>
      <c r="M49" s="157"/>
      <c r="N49" s="157"/>
      <c r="O49" s="157"/>
      <c r="P49" s="157"/>
      <c r="Q49" s="157"/>
      <c r="R49" s="157"/>
      <c r="S49" s="157"/>
      <c r="T49" s="157"/>
      <c r="U49" s="157"/>
      <c r="V49" s="162"/>
      <c r="W49" s="162"/>
      <c r="X49" s="162"/>
      <c r="Y49" s="162"/>
      <c r="Z49" s="162"/>
      <c r="AA49" s="162"/>
      <c r="AB49" s="155"/>
      <c r="AC49" s="155"/>
      <c r="AD49" s="155"/>
      <c r="AE49" s="155"/>
      <c r="AF49" s="155"/>
      <c r="AG49" s="155"/>
      <c r="AH49" s="163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</row>
    <row r="50" spans="1:59" ht="15" customHeight="1">
      <c r="A50" s="258" t="s">
        <v>204</v>
      </c>
      <c r="B50" s="259"/>
      <c r="C50" s="138"/>
      <c r="D50" s="139"/>
      <c r="E50" s="140" t="e">
        <f>E44/E21</f>
        <v>#VALUE!</v>
      </c>
      <c r="F50" s="69" t="e">
        <f>H35</f>
        <v>#VALUE!</v>
      </c>
      <c r="G50" s="56">
        <f>H9</f>
        <v>0</v>
      </c>
      <c r="H50" s="164"/>
      <c r="I50" s="154"/>
      <c r="J50" s="154"/>
      <c r="K50" s="164"/>
      <c r="L50" s="164"/>
      <c r="M50" s="157"/>
      <c r="N50" s="157"/>
      <c r="O50" s="157"/>
      <c r="P50" s="157"/>
      <c r="Q50" s="157"/>
      <c r="R50" s="157"/>
      <c r="S50" s="157"/>
      <c r="T50" s="157"/>
      <c r="U50" s="157"/>
      <c r="V50" s="162"/>
      <c r="W50" s="162"/>
      <c r="X50" s="162"/>
      <c r="Y50" s="162"/>
      <c r="Z50" s="162"/>
      <c r="AA50" s="162"/>
      <c r="AB50" s="155"/>
      <c r="AC50" s="155"/>
      <c r="AD50" s="155"/>
      <c r="AE50" s="155"/>
      <c r="AF50" s="155"/>
      <c r="AG50" s="155"/>
      <c r="AH50" s="163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</row>
    <row r="51" spans="1:59" ht="15" customHeight="1">
      <c r="A51" s="190" t="s">
        <v>205</v>
      </c>
      <c r="B51" s="191"/>
      <c r="C51" s="138"/>
      <c r="D51" s="139"/>
      <c r="E51" s="140" t="e">
        <f>E45/E21</f>
        <v>#VALUE!</v>
      </c>
      <c r="F51" s="65" t="s">
        <v>71</v>
      </c>
      <c r="G51" s="56" t="s">
        <v>70</v>
      </c>
      <c r="H51" s="164"/>
      <c r="I51" s="154"/>
      <c r="J51" s="154"/>
      <c r="K51" s="164"/>
      <c r="L51" s="164"/>
      <c r="M51" s="157"/>
      <c r="N51" s="157"/>
      <c r="O51" s="157"/>
      <c r="P51" s="157"/>
      <c r="Q51" s="157"/>
      <c r="R51" s="157"/>
      <c r="S51" s="157"/>
      <c r="T51" s="157"/>
      <c r="U51" s="157"/>
      <c r="V51" s="162"/>
      <c r="W51" s="162"/>
      <c r="X51" s="162"/>
      <c r="Y51" s="162"/>
      <c r="Z51" s="162"/>
      <c r="AA51" s="162"/>
      <c r="AB51" s="155"/>
      <c r="AC51" s="155"/>
      <c r="AD51" s="155"/>
      <c r="AE51" s="155"/>
      <c r="AF51" s="155"/>
      <c r="AG51" s="155"/>
      <c r="AH51" s="163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</row>
    <row r="52" spans="1:59" ht="15" customHeight="1" thickBot="1">
      <c r="A52" s="190" t="s">
        <v>191</v>
      </c>
      <c r="B52" s="191"/>
      <c r="C52" s="141" t="e">
        <f>MAX(IF(A9=3,850,450),E44*C3+E45+C49)</f>
        <v>#VALUE!</v>
      </c>
      <c r="D52" s="141" t="e">
        <f>(C52-C49)*0.21+D49</f>
        <v>#VALUE!</v>
      </c>
      <c r="E52" s="142" t="e">
        <f>C52+D52</f>
        <v>#VALUE!</v>
      </c>
      <c r="F52" s="70">
        <f>H17</f>
        <v>0</v>
      </c>
      <c r="G52" s="59">
        <f>H16</f>
        <v>0</v>
      </c>
      <c r="H52" s="182"/>
      <c r="I52" s="183"/>
      <c r="J52" s="184"/>
      <c r="K52" s="184"/>
      <c r="L52" s="184"/>
      <c r="M52" s="157"/>
      <c r="N52" s="157"/>
      <c r="O52" s="157"/>
      <c r="P52" s="157"/>
      <c r="Q52" s="157"/>
      <c r="R52" s="157"/>
      <c r="S52" s="157"/>
      <c r="T52" s="157"/>
      <c r="U52" s="157"/>
      <c r="V52" s="162"/>
      <c r="W52" s="162"/>
      <c r="X52" s="162"/>
      <c r="Y52" s="162"/>
      <c r="Z52" s="162"/>
      <c r="AA52" s="162"/>
      <c r="AB52" s="155"/>
      <c r="AC52" s="155"/>
      <c r="AD52" s="155"/>
      <c r="AE52" s="155"/>
      <c r="AF52" s="155"/>
      <c r="AG52" s="155"/>
      <c r="AH52" s="163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</row>
    <row r="53" spans="1:59" ht="13.5" thickBot="1">
      <c r="A53" s="186" t="s">
        <v>190</v>
      </c>
      <c r="B53" s="187"/>
      <c r="C53" s="134" t="e">
        <f>C52/E21</f>
        <v>#VALUE!</v>
      </c>
      <c r="D53" s="134" t="e">
        <f>D52/E21</f>
        <v>#VALUE!</v>
      </c>
      <c r="E53" s="135" t="e">
        <f>E52/E21</f>
        <v>#VALUE!</v>
      </c>
      <c r="F53" s="60"/>
      <c r="G53" s="60"/>
      <c r="H53" s="182"/>
      <c r="I53" s="183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62"/>
      <c r="W53" s="162"/>
      <c r="X53" s="162"/>
      <c r="Y53" s="162"/>
      <c r="Z53" s="162"/>
      <c r="AA53" s="162"/>
      <c r="AB53" s="155"/>
      <c r="AC53" s="155"/>
      <c r="AD53" s="155"/>
      <c r="AE53" s="155"/>
      <c r="AF53" s="155"/>
      <c r="AG53" s="155"/>
      <c r="AH53" s="163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</row>
    <row r="54" spans="6:59" ht="12.75">
      <c r="F54" s="33"/>
      <c r="G54" s="33"/>
      <c r="H54" s="165">
        <f>B12*0.0254</f>
        <v>0</v>
      </c>
      <c r="I54" s="165">
        <f>B13*0.0254</f>
        <v>0</v>
      </c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85"/>
      <c r="W54" s="185"/>
      <c r="X54" s="185"/>
      <c r="Y54" s="185"/>
      <c r="Z54" s="185"/>
      <c r="AA54" s="162"/>
      <c r="AB54" s="155"/>
      <c r="AC54" s="155"/>
      <c r="AD54" s="155"/>
      <c r="AE54" s="155"/>
      <c r="AF54" s="155"/>
      <c r="AG54" s="155"/>
      <c r="AH54" s="163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</row>
    <row r="55" spans="6:59" ht="12.75">
      <c r="F55" s="38"/>
      <c r="G55" s="38"/>
      <c r="H55" s="162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85"/>
      <c r="Y55" s="185"/>
      <c r="Z55" s="185"/>
      <c r="AA55" s="162"/>
      <c r="AB55" s="155"/>
      <c r="AC55" s="155"/>
      <c r="AD55" s="155"/>
      <c r="AE55" s="155"/>
      <c r="AF55" s="155"/>
      <c r="AG55" s="155"/>
      <c r="AH55" s="163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</row>
    <row r="56" spans="5:59" ht="12.75" customHeight="1">
      <c r="E56">
        <v>1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63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</row>
    <row r="57" spans="8:59" ht="12.75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63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</row>
    <row r="58" spans="8:59" ht="12.75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63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</row>
    <row r="59" spans="8:59" ht="12.75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63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</row>
    <row r="60" spans="8:59" ht="12.75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63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</row>
    <row r="61" spans="8:59" ht="12.75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63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</row>
    <row r="62" spans="8:59" ht="12.75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63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</row>
    <row r="63" spans="8:59" ht="12.75"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</row>
    <row r="64" spans="8:59" ht="12.75"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</row>
    <row r="65" spans="8:59" ht="12.75"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</row>
    <row r="66" spans="8:59" ht="12.75"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</row>
    <row r="67" spans="8:59" ht="12.75"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</row>
    <row r="68" spans="8:59" ht="12.75"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</row>
    <row r="69" spans="8:59" ht="12.75"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</row>
    <row r="70" spans="8:59" ht="12.75"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</row>
    <row r="71" spans="8:59" ht="12.75"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</row>
    <row r="72" spans="8:59" ht="12.75"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</row>
    <row r="73" spans="8:43" ht="12.75"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6"/>
      <c r="AL73" s="146"/>
      <c r="AM73" s="146"/>
      <c r="AN73" s="146"/>
      <c r="AO73" s="146"/>
      <c r="AP73" s="146"/>
      <c r="AQ73" s="146"/>
    </row>
    <row r="74" spans="8:43" ht="12.75"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6"/>
      <c r="AL74" s="146"/>
      <c r="AM74" s="146"/>
      <c r="AN74" s="146"/>
      <c r="AO74" s="146"/>
      <c r="AP74" s="146"/>
      <c r="AQ74" s="146"/>
    </row>
    <row r="75" spans="8:43" ht="12.75"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6"/>
      <c r="AL75" s="146"/>
      <c r="AM75" s="146"/>
      <c r="AN75" s="146"/>
      <c r="AO75" s="146"/>
      <c r="AP75" s="146"/>
      <c r="AQ75" s="146"/>
    </row>
    <row r="76" spans="8:43" ht="12.75"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6"/>
      <c r="AL76" s="146"/>
      <c r="AM76" s="146"/>
      <c r="AN76" s="146"/>
      <c r="AO76" s="146"/>
      <c r="AP76" s="146"/>
      <c r="AQ76" s="146"/>
    </row>
    <row r="77" spans="8:43" ht="12.75"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6"/>
      <c r="AL77" s="146"/>
      <c r="AM77" s="146"/>
      <c r="AN77" s="146"/>
      <c r="AO77" s="146"/>
      <c r="AP77" s="146"/>
      <c r="AQ77" s="146"/>
    </row>
    <row r="78" spans="8:43" ht="12.75"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6"/>
      <c r="AL78" s="146"/>
      <c r="AM78" s="146"/>
      <c r="AN78" s="146"/>
      <c r="AO78" s="146"/>
      <c r="AP78" s="146"/>
      <c r="AQ78" s="146"/>
    </row>
    <row r="79" spans="8:43" ht="12.75"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6"/>
      <c r="AL79" s="146"/>
      <c r="AM79" s="146"/>
      <c r="AN79" s="146"/>
      <c r="AO79" s="146"/>
      <c r="AP79" s="146"/>
      <c r="AQ79" s="146"/>
    </row>
    <row r="80" spans="8:43" ht="12.75"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6"/>
      <c r="AL80" s="146"/>
      <c r="AM80" s="146"/>
      <c r="AN80" s="146"/>
      <c r="AO80" s="146"/>
      <c r="AP80" s="146"/>
      <c r="AQ80" s="146"/>
    </row>
    <row r="81" spans="8:43" ht="12.75"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6"/>
      <c r="AL81" s="146"/>
      <c r="AM81" s="146"/>
      <c r="AN81" s="146"/>
      <c r="AO81" s="146"/>
      <c r="AP81" s="146"/>
      <c r="AQ81" s="146"/>
    </row>
    <row r="82" spans="8:43" ht="12.75"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6"/>
      <c r="AL82" s="146"/>
      <c r="AM82" s="146"/>
      <c r="AN82" s="146"/>
      <c r="AO82" s="146"/>
      <c r="AP82" s="146"/>
      <c r="AQ82" s="146"/>
    </row>
    <row r="83" spans="8:43" ht="12.75"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6"/>
      <c r="AL83" s="146"/>
      <c r="AM83" s="146"/>
      <c r="AN83" s="146"/>
      <c r="AO83" s="146"/>
      <c r="AP83" s="146"/>
      <c r="AQ83" s="146"/>
    </row>
    <row r="84" spans="8:43" ht="12.75"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6"/>
      <c r="AL84" s="146"/>
      <c r="AM84" s="146"/>
      <c r="AN84" s="146"/>
      <c r="AO84" s="146"/>
      <c r="AP84" s="146"/>
      <c r="AQ84" s="146"/>
    </row>
    <row r="85" spans="8:43" ht="12.75"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6"/>
      <c r="AL85" s="146"/>
      <c r="AM85" s="146"/>
      <c r="AN85" s="146"/>
      <c r="AO85" s="146"/>
      <c r="AP85" s="146"/>
      <c r="AQ85" s="146"/>
    </row>
    <row r="86" spans="8:43" ht="12.75"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6"/>
      <c r="AL86" s="146"/>
      <c r="AM86" s="146"/>
      <c r="AN86" s="146"/>
      <c r="AO86" s="146"/>
      <c r="AP86" s="146"/>
      <c r="AQ86" s="146"/>
    </row>
    <row r="87" spans="8:43" ht="12.75"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6"/>
      <c r="AL87" s="146"/>
      <c r="AM87" s="146"/>
      <c r="AN87" s="146"/>
      <c r="AO87" s="146"/>
      <c r="AP87" s="146"/>
      <c r="AQ87" s="146"/>
    </row>
    <row r="88" spans="8:43" ht="12.75"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6"/>
      <c r="AL88" s="146"/>
      <c r="AM88" s="146"/>
      <c r="AN88" s="146"/>
      <c r="AO88" s="146"/>
      <c r="AP88" s="146"/>
      <c r="AQ88" s="146"/>
    </row>
    <row r="89" spans="8:43" ht="12.75"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6"/>
      <c r="AL89" s="146"/>
      <c r="AM89" s="146"/>
      <c r="AN89" s="146"/>
      <c r="AO89" s="146"/>
      <c r="AP89" s="146"/>
      <c r="AQ89" s="146"/>
    </row>
    <row r="90" spans="8:43" ht="12.75"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6"/>
      <c r="AL90" s="146"/>
      <c r="AM90" s="146"/>
      <c r="AN90" s="146"/>
      <c r="AO90" s="146"/>
      <c r="AP90" s="146"/>
      <c r="AQ90" s="146"/>
    </row>
    <row r="91" spans="8:43" ht="12.75"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6"/>
      <c r="AL91" s="146"/>
      <c r="AM91" s="146"/>
      <c r="AN91" s="146"/>
      <c r="AO91" s="146"/>
      <c r="AP91" s="146"/>
      <c r="AQ91" s="146"/>
    </row>
    <row r="92" spans="8:43" ht="12.75"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6"/>
      <c r="AL92" s="146"/>
      <c r="AM92" s="146"/>
      <c r="AN92" s="146"/>
      <c r="AO92" s="146"/>
      <c r="AP92" s="146"/>
      <c r="AQ92" s="146"/>
    </row>
    <row r="93" spans="8:43" ht="12.75"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6"/>
      <c r="AL93" s="146"/>
      <c r="AM93" s="146"/>
      <c r="AN93" s="146"/>
      <c r="AO93" s="146"/>
      <c r="AP93" s="146"/>
      <c r="AQ93" s="146"/>
    </row>
    <row r="94" spans="8:38" ht="12.75"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</row>
    <row r="95" spans="8:38" ht="12.75"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</row>
    <row r="96" spans="8:38" ht="12.75"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</row>
    <row r="97" spans="8:38" ht="12.75"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</row>
    <row r="98" spans="8:38" ht="12.75"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</row>
    <row r="99" spans="8:38" ht="12.75"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</row>
    <row r="100" spans="8:38" ht="12.75"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</row>
    <row r="101" spans="8:38" ht="12.75"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</row>
    <row r="102" spans="8:38" ht="12.75"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</row>
    <row r="103" spans="8:38" ht="12.75"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</row>
    <row r="104" spans="8:38" ht="12.75"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</row>
    <row r="105" spans="8:38" ht="12.75"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</row>
    <row r="106" spans="8:38" ht="12.75"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</row>
    <row r="107" spans="8:38" ht="12.75"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</row>
    <row r="108" spans="8:38" ht="12.75"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</row>
    <row r="109" spans="8:38" ht="12.75"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</row>
    <row r="110" spans="8:38" ht="12.75"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</row>
    <row r="111" spans="8:38" ht="12.75"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</row>
    <row r="112" spans="8:38" ht="12.75"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</row>
    <row r="113" spans="8:38" ht="12.75"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</row>
    <row r="114" spans="8:38" ht="12.75"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</row>
    <row r="115" spans="8:38" ht="12.75"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</row>
    <row r="116" spans="8:38" ht="12.75"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</row>
    <row r="117" spans="8:38" ht="12.75"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</row>
    <row r="118" spans="8:38" ht="12.75"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</row>
    <row r="119" spans="8:38" ht="12.75"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</row>
    <row r="120" spans="8:38" ht="12.75"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</row>
    <row r="121" spans="8:38" ht="12.75"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</row>
    <row r="122" spans="8:38" ht="12.75"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</row>
    <row r="123" spans="8:38" ht="12.75"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</row>
    <row r="124" spans="8:38" ht="12.75"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</row>
    <row r="125" spans="8:38" ht="12.75"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</row>
    <row r="126" spans="8:38" ht="12.75"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</row>
    <row r="127" spans="8:38" ht="12.75"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</row>
    <row r="128" spans="8:36" ht="12.75"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</row>
    <row r="129" spans="8:36" ht="12.75"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</row>
    <row r="130" spans="8:36" ht="12.75"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</row>
    <row r="131" spans="8:36" ht="12.75"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</row>
    <row r="132" spans="8:36" ht="12.75"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</row>
    <row r="133" spans="8:36" ht="12.75"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</row>
    <row r="134" spans="8:36" ht="12.75"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</row>
    <row r="135" spans="8:36" ht="12.75"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</row>
    <row r="136" spans="8:36" ht="12.75"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</row>
    <row r="137" spans="8:36" ht="12.75"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</row>
    <row r="138" spans="8:36" ht="12.75"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</row>
    <row r="139" spans="8:36" ht="12.75"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</row>
    <row r="140" spans="8:36" ht="12.75"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</row>
    <row r="141" spans="8:36" ht="12.75"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</row>
    <row r="142" spans="8:36" ht="12.75"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</row>
    <row r="143" spans="8:36" ht="12.75"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</row>
    <row r="144" spans="8:36" ht="12.75"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</row>
    <row r="145" spans="8:36" ht="12.75"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</row>
    <row r="146" spans="8:36" ht="12.75"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</row>
    <row r="147" spans="8:36" ht="12.75"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</row>
    <row r="148" spans="8:36" ht="12.75"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</row>
    <row r="149" spans="8:36" ht="12.75"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</row>
    <row r="150" spans="8:36" ht="12.75"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</row>
    <row r="151" spans="8:36" ht="12.75"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</row>
    <row r="152" spans="8:36" ht="12.75"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</row>
    <row r="153" spans="8:36" ht="12.75"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</row>
    <row r="154" spans="8:36" ht="12.75"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</row>
    <row r="155" spans="8:36" ht="12.75"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</row>
    <row r="156" spans="8:36" ht="12.75"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</row>
    <row r="157" spans="8:36" ht="12.75"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</row>
    <row r="158" spans="8:36" ht="12.75"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</row>
    <row r="159" spans="8:36" ht="12.75"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</row>
    <row r="160" spans="8:36" ht="12.75"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</row>
    <row r="161" spans="8:36" ht="12.75"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</row>
    <row r="162" spans="8:36" ht="12.75"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</row>
    <row r="163" spans="8:36" ht="12.75"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</row>
    <row r="164" spans="8:36" ht="12.75"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</row>
    <row r="165" spans="8:36" ht="12.75"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</row>
    <row r="166" spans="8:36" ht="12.75"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</row>
    <row r="167" spans="8:36" ht="12.75"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</row>
    <row r="168" spans="8:36" ht="12.75"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</row>
    <row r="169" spans="8:36" ht="12.75"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</row>
    <row r="170" spans="8:36" ht="12.75"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</row>
    <row r="171" spans="8:36" ht="12.75"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</row>
    <row r="172" spans="8:36" ht="12.75"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</row>
    <row r="173" spans="8:36" ht="12.75"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</row>
    <row r="174" spans="8:36" ht="12.75"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</row>
    <row r="175" spans="8:36" ht="12.75"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</row>
    <row r="176" spans="8:36" ht="12.75"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</row>
    <row r="177" spans="8:36" ht="12.75"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</row>
    <row r="178" spans="8:36" ht="12.75"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</row>
    <row r="179" spans="8:36" ht="12.75"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</row>
    <row r="180" spans="8:36" ht="12.75"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</row>
    <row r="181" spans="8:36" ht="12.75"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</row>
    <row r="182" spans="8:36" ht="12.75"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</row>
    <row r="183" spans="8:36" ht="12.75"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</row>
    <row r="184" spans="8:36" ht="12.75"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</row>
    <row r="185" spans="8:36" ht="12.75"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</row>
    <row r="186" spans="8:36" ht="12.75"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</row>
    <row r="187" spans="8:36" ht="12.75"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</row>
    <row r="188" spans="8:36" ht="12.75"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</row>
    <row r="189" spans="8:36" ht="12.75"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</row>
    <row r="190" spans="8:36" ht="12.75"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</row>
    <row r="191" spans="8:36" ht="12.75"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</row>
    <row r="192" spans="8:36" ht="12.75"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</row>
    <row r="193" spans="8:36" ht="12.75"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</row>
    <row r="194" spans="8:36" ht="12.75"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</row>
    <row r="195" spans="8:36" ht="12.75"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</row>
    <row r="196" spans="8:36" ht="12.75"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</row>
    <row r="197" spans="8:36" ht="12.75"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</row>
    <row r="198" spans="8:36" ht="12.75"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</row>
    <row r="199" spans="8:36" ht="12.75"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</row>
    <row r="200" spans="8:36" ht="12.75"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</row>
    <row r="201" spans="8:36" ht="12.75"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</row>
    <row r="202" spans="8:36" ht="12.75"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</row>
    <row r="203" spans="8:36" ht="12.75"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</row>
    <row r="204" spans="8:36" ht="12.75"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</row>
    <row r="205" spans="8:36" ht="12.75"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</row>
    <row r="206" spans="8:36" ht="12.75"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</row>
    <row r="207" spans="8:36" ht="12.75"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</row>
    <row r="208" spans="8:36" ht="12.75"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</row>
    <row r="209" spans="8:36" ht="12.75"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</row>
    <row r="210" spans="8:36" ht="12.75"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</row>
    <row r="211" spans="8:36" ht="12.75"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</row>
    <row r="212" spans="8:36" ht="12.75"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</row>
    <row r="213" spans="8:36" ht="12.75"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</row>
    <row r="214" spans="8:36" ht="12.75"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</row>
    <row r="215" spans="8:36" ht="12.75"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</row>
    <row r="216" spans="8:36" ht="12.75"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</row>
    <row r="217" spans="8:36" ht="12.75"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</row>
    <row r="218" spans="8:36" ht="12.75"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</row>
    <row r="219" spans="8:36" ht="12.75"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</row>
    <row r="220" spans="8:36" ht="12.75"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</row>
    <row r="221" spans="8:36" ht="12.75"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</row>
    <row r="222" spans="8:36" ht="12.75"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</row>
    <row r="223" spans="8:36" ht="12.75"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</row>
    <row r="224" spans="8:36" ht="12.75"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</row>
    <row r="225" spans="8:36" ht="12.75"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</row>
    <row r="226" spans="8:36" ht="12.75"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</row>
    <row r="227" spans="8:36" ht="12.75"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</row>
    <row r="228" spans="8:36" ht="12.75"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</row>
    <row r="229" spans="8:36" ht="12.75"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</row>
    <row r="230" spans="8:36" ht="12.75"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</row>
    <row r="231" spans="8:36" ht="12.75"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</row>
    <row r="232" spans="8:36" ht="12.75"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</row>
    <row r="233" spans="8:36" ht="12.75"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</row>
    <row r="234" spans="8:36" ht="12.75"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</row>
    <row r="235" spans="8:36" ht="12.75"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</row>
    <row r="236" spans="8:36" ht="12.75"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</row>
    <row r="237" spans="8:36" ht="12.75"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</row>
    <row r="238" spans="8:36" ht="12.75"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</row>
    <row r="239" spans="8:36" ht="12.75"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</row>
    <row r="240" spans="8:36" ht="12.75"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</row>
    <row r="241" spans="8:36" ht="12.75"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</row>
    <row r="242" spans="8:36" ht="12.75"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</row>
    <row r="243" spans="8:36" ht="12.75"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</row>
    <row r="244" spans="8:36" ht="12.75"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</row>
    <row r="245" spans="8:36" ht="12.75"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</row>
    <row r="246" spans="8:36" ht="12.75"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</row>
    <row r="247" spans="8:36" ht="12.75"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</row>
    <row r="248" spans="8:36" ht="12.75"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</row>
    <row r="249" spans="8:36" ht="12.75"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</row>
    <row r="250" spans="8:36" ht="12.75"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</row>
    <row r="251" spans="8:36" ht="12.75"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</row>
    <row r="252" spans="8:36" ht="12.75"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</row>
    <row r="253" spans="8:36" ht="12.75"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</row>
    <row r="254" spans="8:36" ht="12.75"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</row>
    <row r="255" spans="8:36" ht="12.75"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</row>
    <row r="256" spans="8:36" ht="12.75"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</row>
    <row r="257" spans="8:36" ht="12.75"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</row>
    <row r="258" spans="8:36" ht="12.75"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</row>
    <row r="259" spans="8:36" ht="12.75"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</row>
    <row r="260" spans="8:36" ht="12.75"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</row>
    <row r="261" spans="8:36" ht="12.75"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</row>
    <row r="262" spans="8:36" ht="12.75"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</row>
  </sheetData>
  <sheetProtection/>
  <mergeCells count="61">
    <mergeCell ref="O26:P26"/>
    <mergeCell ref="F26:G27"/>
    <mergeCell ref="F20:G20"/>
    <mergeCell ref="F21:G21"/>
    <mergeCell ref="F22:F23"/>
    <mergeCell ref="G22:G23"/>
    <mergeCell ref="C45:D45"/>
    <mergeCell ref="A28:B28"/>
    <mergeCell ref="A49:B49"/>
    <mergeCell ref="A51:B51"/>
    <mergeCell ref="A48:B48"/>
    <mergeCell ref="A50:B50"/>
    <mergeCell ref="A46:B46"/>
    <mergeCell ref="C44:D44"/>
    <mergeCell ref="C28:D28"/>
    <mergeCell ref="D40:E40"/>
    <mergeCell ref="C25:D25"/>
    <mergeCell ref="C26:D26"/>
    <mergeCell ref="C43:D43"/>
    <mergeCell ref="F28:G33"/>
    <mergeCell ref="F34:G34"/>
    <mergeCell ref="E29:E30"/>
    <mergeCell ref="F18:F19"/>
    <mergeCell ref="F10:F11"/>
    <mergeCell ref="F12:F13"/>
    <mergeCell ref="F14:F15"/>
    <mergeCell ref="F16:F17"/>
    <mergeCell ref="C27:D27"/>
    <mergeCell ref="E25:E26"/>
    <mergeCell ref="C22:C23"/>
    <mergeCell ref="E27:E28"/>
    <mergeCell ref="C24:D24"/>
    <mergeCell ref="F6:F7"/>
    <mergeCell ref="F4:F5"/>
    <mergeCell ref="A7:B7"/>
    <mergeCell ref="A6:B6"/>
    <mergeCell ref="A10:B10"/>
    <mergeCell ref="A17:B17"/>
    <mergeCell ref="C10:C11"/>
    <mergeCell ref="D10:E10"/>
    <mergeCell ref="D16:E16"/>
    <mergeCell ref="D19:E19"/>
    <mergeCell ref="E22:E23"/>
    <mergeCell ref="D22:D23"/>
    <mergeCell ref="D20:E20"/>
    <mergeCell ref="A1:B1"/>
    <mergeCell ref="F8:F9"/>
    <mergeCell ref="F1:G1"/>
    <mergeCell ref="C4:D4"/>
    <mergeCell ref="C6:D6"/>
    <mergeCell ref="F2:F3"/>
    <mergeCell ref="A53:B53"/>
    <mergeCell ref="A27:B27"/>
    <mergeCell ref="A47:B47"/>
    <mergeCell ref="A52:B52"/>
    <mergeCell ref="A22:A23"/>
    <mergeCell ref="A16:B16"/>
    <mergeCell ref="A21:B21"/>
    <mergeCell ref="A18:B18"/>
    <mergeCell ref="B22:B23"/>
    <mergeCell ref="A40:B40"/>
  </mergeCells>
  <dataValidations count="74">
    <dataValidation allowBlank="1" showInputMessage="1" showErrorMessage="1" prompt="Datum doručení dat pro výrobu" sqref="A3"/>
    <dataValidation allowBlank="1" showInputMessage="1" showErrorMessage="1" prompt="Základní cena za dm2" sqref="H28"/>
    <dataValidation allowBlank="1" showInputMessage="1" showErrorMessage="1" prompt="Účtovaná plocha v dm2" sqref="H29"/>
    <dataValidation allowBlank="1" showInputMessage="1" showErrorMessage="1" prompt="Výsledná základní cena za dm2" sqref="H30 F42"/>
    <dataValidation allowBlank="1" showInputMessage="1" showErrorMessage="1" prompt="Celková poskytnutá množstevní sleva za plochu" sqref="H31"/>
    <dataValidation allowBlank="1" showInputMessage="1" showErrorMessage="1" prompt="Výsledná cena za ks samotného plošného spoje" sqref="H34"/>
    <dataValidation allowBlank="1" showInputMessage="1" showErrorMessage="1" prompt="Celková cena za samotné plošné spoje" sqref="H35"/>
    <dataValidation allowBlank="1" showInputMessage="1" showErrorMessage="1" prompt="Termín dodání od doručení dat do odeslání" sqref="D5"/>
    <dataValidation allowBlank="1" showInputMessage="1" showErrorMessage="1" prompt="Typ plošného spoje" sqref="A9"/>
    <dataValidation allowBlank="1" showInputMessage="1" showErrorMessage="1" prompt="Požadovaná forma dodání" sqref="D7"/>
    <dataValidation allowBlank="1" showInputMessage="1" showErrorMessage="1" prompt="Cena za doručení poštou v ČR" sqref="H37"/>
    <dataValidation allowBlank="1" showInputMessage="1" showErrorMessage="1" prompt="Objednaný nebo dodaný počet ks" sqref="C3"/>
    <dataValidation allowBlank="1" showInputMessage="1" showErrorMessage="1" prompt="Cena za přípravu dat" sqref="H19 G44"/>
    <dataValidation allowBlank="1" showInputMessage="1" showErrorMessage="1" prompt="Cena za filmy" sqref="H7"/>
    <dataValidation allowBlank="1" showInputMessage="1" showErrorMessage="1" prompt="Cena za přípravu výroby samotné dps" sqref="H8"/>
    <dataValidation allowBlank="1" showInputMessage="1" showErrorMessage="1" prompt="Cena za povrch DPS" sqref="H9 G50"/>
    <dataValidation allowBlank="1" showInputMessage="1" showErrorMessage="1" prompt="Cena za přípravu vrtacích dat" sqref="H10"/>
    <dataValidation allowBlank="1" showInputMessage="1" showErrorMessage="1" prompt="Cena za vrtání celé zakázky. Za ruční vrtání 200%." sqref="H24"/>
    <dataValidation allowBlank="1" showInputMessage="1" showErrorMessage="1" prompt="Cena za použitý počet vrtáků" sqref="H27"/>
    <dataValidation allowBlank="1" showInputMessage="1" showErrorMessage="1" prompt="Cena za mechanické dělení celé zakázky" sqref="H16"/>
    <dataValidation allowBlank="1" showInputMessage="1" showErrorMessage="1" prompt="Celkem cena za vyvrtání celé zakázky" sqref="H17"/>
    <dataValidation allowBlank="1" showInputMessage="1" showErrorMessage="1" prompt="Celkem cena za servisní potisk" sqref="H2 F46"/>
    <dataValidation allowBlank="1" showInputMessage="1" showErrorMessage="1" prompt="Celkem počet otvorů 0,7 - 6,4 mm na celé zakázce" sqref="H4"/>
    <dataValidation allowBlank="1" showInputMessage="1" showErrorMessage="1" prompt="Celkem počet otvorů 0,6 mm na celé zakázce" sqref="H11"/>
    <dataValidation allowBlank="1" showInputMessage="1" showErrorMessage="1" prompt="Celkem počet otvorů 0,5 mm na celé zakázce" sqref="H12"/>
    <dataValidation allowBlank="1" showInputMessage="1" showErrorMessage="1" prompt="Mimořádná přirážka nebo sleva za potisk" sqref="E8"/>
    <dataValidation allowBlank="1" showInputMessage="1" showErrorMessage="1" prompt="Mimořádná přirážka nebo sleva na plošný spoj" sqref="E4"/>
    <dataValidation allowBlank="1" showInputMessage="1" showErrorMessage="1" prompt="Celková délka obrysu frézování na jednom přířezu v dm" sqref="A25"/>
    <dataValidation allowBlank="1" showErrorMessage="1" sqref="B25"/>
    <dataValidation allowBlank="1" showInputMessage="1" showErrorMessage="1" prompt="Příprava dat pro frézování" sqref="A26"/>
    <dataValidation allowBlank="1" showInputMessage="1" showErrorMessage="1" prompt="Příprava dat pro drážkování" sqref="B26"/>
    <dataValidation allowBlank="1" showInputMessage="1" showErrorMessage="1" prompt="Rozměr 1 ks dps v ose X v mils" sqref="B12"/>
    <dataValidation allowBlank="1" showInputMessage="1" showErrorMessage="1" prompt="Rozměr 1 ks dps v ose Y v mils" sqref="B13"/>
    <dataValidation allowBlank="1" showInputMessage="1" showErrorMessage="1" prompt="Formát dat pro výrobu" sqref="E17"/>
    <dataValidation allowBlank="1" showInputMessage="1" showErrorMessage="1" prompt="Typ zhotovené předlohy" sqref="E18"/>
    <dataValidation allowBlank="1" showInputMessage="1" showErrorMessage="1" prompt="Cena za 1dm2 předlohy" sqref="H20"/>
    <dataValidation allowBlank="1" showInputMessage="1" showErrorMessage="1" prompt="servisní potisk" sqref="A20"/>
    <dataValidation allowBlank="1" showInputMessage="1" showErrorMessage="1" prompt="nepájivá maska" sqref="A19"/>
    <dataValidation allowBlank="1" showInputMessage="1" showErrorMessage="1" prompt="povrch DPS" sqref="A17:A18"/>
    <dataValidation allowBlank="1" showInputMessage="1" showErrorMessage="1" prompt="Typ obrysového opracování" sqref="B22:B23"/>
    <dataValidation allowBlank="1" showInputMessage="1" showErrorMessage="1" prompt="Celkový počet typů desek v objednávce, např 5." sqref="B5"/>
    <dataValidation type="whole" allowBlank="1" showInputMessage="1" showErrorMessage="1" prompt="Celkový počet otvorů tohoto průměru na 1 kusu plošného spoje." sqref="E25">
      <formula1>0</formula1>
      <formula2>20000</formula2>
    </dataValidation>
    <dataValidation type="decimal" allowBlank="1" showInputMessage="1" showErrorMessage="1" prompt="Rozměr 1 ks dps v ose Y v mm, max. 610" errorTitle="Zadána nepřípustná  hodnota" error="Max. rozměr desky v ose y je 610 mm !" sqref="A13">
      <formula1>1</formula1>
      <formula2>610</formula2>
    </dataValidation>
    <dataValidation type="whole" allowBlank="1" showInputMessage="1" showErrorMessage="1" prompt="Počet panelů na motivu filmu v ose Y.&#10;&#10;Tento počet je závislý na počtu vyráběných desek a jejich perspektivu do budoucna tak, aby byl co nejvýhodnější pro zákazníka i pro výrobu ve firmě Semach. Stanovuje ji technolog firmy Semach." sqref="C13">
      <formula1>1</formula1>
      <formula2>100</formula2>
    </dataValidation>
    <dataValidation type="decimal" allowBlank="1" showInputMessage="1" showErrorMessage="1" prompt="Rozměr 1 ks dps v ose X v mm, max. 1245" errorTitle="Zadána nepřípustná hodnota" error="Max. rozměr desky v ose x je 1245 mm!" sqref="A12">
      <formula1>1</formula1>
      <formula2>1245</formula2>
    </dataValidation>
    <dataValidation type="whole" allowBlank="1" showInputMessage="1" showErrorMessage="1" prompt="Počet panelů na motivu filmu v ose X.&#10;&#10;Tento počet je závislý na počtu vyráběných desek a jejich perspektivu do budoucna tak, aby byl co nejvýhodnější pro zákazníka i pro výrobu ve firmě Semach. Stanovuje ji technolog firmy Semach." sqref="C12">
      <formula1>1</formula1>
      <formula2>100</formula2>
    </dataValidation>
    <dataValidation type="whole" allowBlank="1" showInputMessage="1" showErrorMessage="1" prompt="Celkový počet průměrů vrtáků použitých na tomto typu DPS." sqref="E39">
      <formula1>0</formula1>
      <formula2>20000</formula2>
    </dataValidation>
    <dataValidation allowBlank="1" showInputMessage="1" showErrorMessage="1" prompt="Orientační datum dodání zboží." sqref="B3"/>
    <dataValidation allowBlank="1" showInputMessage="1" showErrorMessage="1" prompt="Název plošného spoje - text na DPS" sqref="A7:B7"/>
    <dataValidation type="whole" allowBlank="1" showInputMessage="1" showErrorMessage="1" prompt="Cena za přípravu testeru" sqref="A30">
      <formula1>0</formula1>
      <formula2>20000</formula2>
    </dataValidation>
    <dataValidation type="whole" allowBlank="1" showInputMessage="1" showErrorMessage="1" prompt="Cena za testování" sqref="B30">
      <formula1>0</formula1>
      <formula2>20000</formula2>
    </dataValidation>
    <dataValidation type="whole" allowBlank="1" showInputMessage="1" showErrorMessage="1" prompt="Cena za přípravu speciálních povrchů" sqref="C30">
      <formula1>0</formula1>
      <formula2>20000</formula2>
    </dataValidation>
    <dataValidation type="whole" allowBlank="1" showInputMessage="1" showErrorMessage="1" prompt="Cena za povrch" sqref="D30">
      <formula1>0</formula1>
      <formula2>20000</formula2>
    </dataValidation>
    <dataValidation allowBlank="1" showInputMessage="1" showErrorMessage="1" prompt="Název zákazníka" sqref="A1:B1"/>
    <dataValidation allowBlank="1" showInputMessage="1" showErrorMessage="1" prompt="Celkem cena za nepájivou masku" sqref="H1"/>
    <dataValidation allowBlank="1" showInputMessage="1" showErrorMessage="1" prompt="Cena za dps pro výpočet ceny za expres" sqref="H21"/>
    <dataValidation allowBlank="1" showInputMessage="1" showErrorMessage="1" prompt="Cena za expres 1v/2v dps podle dodací lhůty" sqref="H22"/>
    <dataValidation allowBlank="1" showInputMessage="1" showErrorMessage="1" prompt="Cena za expres podle dodací lhůty" sqref="H5"/>
    <dataValidation allowBlank="1" showInputMessage="1" showErrorMessage="1" prompt="Počet stran pro potisk" sqref="H14"/>
    <dataValidation allowBlank="1" showInputMessage="1" showErrorMessage="1" prompt="Počet stran pro masku" sqref="H13"/>
    <dataValidation allowBlank="1" showInputMessage="1" showErrorMessage="1" prompt="Velikost přířezu X včetně technologického okolí v mm" sqref="D14:E14"/>
    <dataValidation allowBlank="1" showInputMessage="1" showErrorMessage="1" prompt="Velikost přířezu Y včetně technologického okolí v mm" sqref="D15:E15"/>
    <dataValidation allowBlank="1" showInputMessage="1" showErrorMessage="1" prompt="Cena za přípravu dělení" sqref="H18"/>
    <dataValidation allowBlank="1" showInputMessage="1" showErrorMessage="1" prompt="Pořadové číslo zakázky z celkového počtu objednaných typů desek. Příklad : 2 znamená druhá zakázka z této objednávky," sqref="A5"/>
    <dataValidation allowBlank="1" showInputMessage="1" showErrorMessage="1" prompt="Cena za doručení PPL, kurýr, Slovensko" sqref="H38"/>
    <dataValidation allowBlank="1" showInputMessage="1" showErrorMessage="1" prompt="Mimořádná přirážka nebo sleva za masku" sqref="E6"/>
    <dataValidation allowBlank="1" showInputMessage="1" showErrorMessage="1" prompt="Velikost včetně přídavku pro drážkování" sqref="E12:E13"/>
    <dataValidation allowBlank="1" showInputMessage="1" showErrorMessage="1" prompt="Průměrný počet děr" sqref="C20"/>
    <dataValidation allowBlank="1" showInputMessage="1" showErrorMessage="1" prompt="Stav mailu o přijetí a expedici zakázky" sqref="G24"/>
    <dataValidation allowBlank="1" showInputMessage="1" showErrorMessage="1" prompt="Stav mailu o zpoždění zakázky" sqref="G25"/>
    <dataValidation allowBlank="1" showInputMessage="1" showErrorMessage="1" prompt="Typ průměru frézy " sqref="A22:A23"/>
    <dataValidation allowBlank="1" showInputMessage="1" showErrorMessage="1" prompt="Telefon zákazníka" sqref="C1"/>
    <dataValidation allowBlank="1" showInputMessage="1" showErrorMessage="1" prompt="Cena za expres 2vp dps podle dodací lhůty" sqref="H23"/>
    <dataValidation allowBlank="1" showInputMessage="1" showErrorMessage="1" prompt="Celková cena za materiálovou přirážku" sqref="H33"/>
  </dataValidations>
  <hyperlinks>
    <hyperlink ref="F28:G31" r:id="rId1" tooltip="Odešle do e-mailu" display="Zde odešlete : Vyplňujte POUZE ! žlutá pole a rozbalovací nabídky nadepsané modře. Pokud nevyplníte vše, dostanete chybné výsledky !!"/>
    <hyperlink ref="F26" r:id="rId2" display="http://www.semach.cz"/>
  </hyperlink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5"/>
  <headerFooter alignWithMargins="0">
    <oddHeader>&amp;L&amp;"Arial CE,tučné"Semach&amp;"Arial CE,obyčejné" &amp;"Arial CE,kurzíva"- plošné spoje&amp;Czakázkový a dodací list číslo &amp;"Arial CE,tučné"&amp;14&amp;F&amp;R&amp;"Arial CE,kurzíva"&amp;8vytisknuto &amp;D v &amp;T</oddHeader>
    <oddFooter>&amp;CCeny a parametry  v tomto listu jsou určeny souborem z Excelu. Pod jeho evidenčním číslem jej najdete v archívu zakázek na naší internetové stránce. &amp;"Arial CE,kurzíva"Slouží jako podklad k fakturaci a jako dodací list.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 Jiří</dc:creator>
  <cp:keywords/>
  <dc:description/>
  <cp:lastModifiedBy>Admin</cp:lastModifiedBy>
  <cp:lastPrinted>2021-12-28T14:15:35Z</cp:lastPrinted>
  <dcterms:created xsi:type="dcterms:W3CDTF">2001-02-24T16:21:12Z</dcterms:created>
  <dcterms:modified xsi:type="dcterms:W3CDTF">2023-02-04T19:15:27Z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